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EUACI\124.F. EUACI. Component III. Civil society\4 component 2024-2027\national calls\forms for the grant\"/>
    </mc:Choice>
  </mc:AlternateContent>
  <xr:revisionPtr revIDLastSave="0" documentId="8_{D74FACF7-6612-4BC8-AB09-F709A54695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utput-based engagement budget" sheetId="1" r:id="rId1"/>
    <sheet name="Budget monitoring Year 1 Q3+Q4" sheetId="9" r:id="rId2"/>
    <sheet name="Budget monitoring Year 1 Q1-Q2" sheetId="7" r:id="rId3"/>
  </sheets>
  <definedNames>
    <definedName name="_xlnm.Print_Area" localSheetId="0">'Output-based engagement budget'!$A$5:$P$72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7" l="1"/>
  <c r="J60" i="9" l="1"/>
  <c r="L60" i="9" s="1"/>
  <c r="G60" i="9"/>
  <c r="M60" i="9" s="1"/>
  <c r="F59" i="9"/>
  <c r="F61" i="9" s="1"/>
  <c r="G61" i="9" s="1"/>
  <c r="H61" i="9" s="1"/>
  <c r="H55" i="9"/>
  <c r="F55" i="9"/>
  <c r="F54" i="9"/>
  <c r="F56" i="9" s="1"/>
  <c r="M41" i="9"/>
  <c r="M43" i="9" s="1"/>
  <c r="I30" i="9"/>
  <c r="M28" i="9"/>
  <c r="M30" i="9" s="1"/>
  <c r="F28" i="9"/>
  <c r="F55" i="7"/>
  <c r="H60" i="9" l="1"/>
  <c r="M17" i="9"/>
  <c r="F41" i="9"/>
  <c r="F68" i="9" s="1"/>
  <c r="G59" i="9"/>
  <c r="H59" i="9" s="1"/>
  <c r="K60" i="9"/>
  <c r="J48" i="7"/>
  <c r="J48" i="9" s="1"/>
  <c r="J49" i="7"/>
  <c r="J49" i="9" s="1"/>
  <c r="J50" i="7"/>
  <c r="J50" i="9" s="1"/>
  <c r="J51" i="7"/>
  <c r="J51" i="9" s="1"/>
  <c r="J52" i="7"/>
  <c r="J52" i="9" s="1"/>
  <c r="J53" i="7"/>
  <c r="J53" i="9" s="1"/>
  <c r="J47" i="7"/>
  <c r="J47" i="9" s="1"/>
  <c r="J46" i="7"/>
  <c r="J46" i="9" s="1"/>
  <c r="J35" i="7"/>
  <c r="J35" i="9" s="1"/>
  <c r="J36" i="7"/>
  <c r="J36" i="9" s="1"/>
  <c r="J37" i="7"/>
  <c r="J37" i="9" s="1"/>
  <c r="J39" i="7"/>
  <c r="J39" i="9" s="1"/>
  <c r="J40" i="7"/>
  <c r="J34" i="7"/>
  <c r="J34" i="9" s="1"/>
  <c r="J33" i="7"/>
  <c r="J33" i="9" s="1"/>
  <c r="J22" i="7"/>
  <c r="J22" i="9" s="1"/>
  <c r="J23" i="7"/>
  <c r="J23" i="9" s="1"/>
  <c r="J24" i="7"/>
  <c r="J24" i="9" s="1"/>
  <c r="J25" i="7"/>
  <c r="J25" i="9" s="1"/>
  <c r="J26" i="7"/>
  <c r="J26" i="9" s="1"/>
  <c r="J27" i="7"/>
  <c r="J27" i="9" s="1"/>
  <c r="J21" i="7"/>
  <c r="J21" i="9" s="1"/>
  <c r="J20" i="7"/>
  <c r="J20" i="9" s="1"/>
  <c r="E21" i="7"/>
  <c r="G21" i="7" s="1"/>
  <c r="J60" i="7"/>
  <c r="K60" i="7" s="1"/>
  <c r="G60" i="7"/>
  <c r="H60" i="7" s="1"/>
  <c r="F59" i="7"/>
  <c r="H55" i="7"/>
  <c r="F54" i="7"/>
  <c r="M41" i="7"/>
  <c r="M43" i="7" s="1"/>
  <c r="I30" i="7"/>
  <c r="M28" i="7"/>
  <c r="M30" i="7" s="1"/>
  <c r="F28" i="7"/>
  <c r="K27" i="7" l="1"/>
  <c r="K40" i="7"/>
  <c r="J40" i="9"/>
  <c r="J54" i="9"/>
  <c r="J28" i="9"/>
  <c r="G59" i="7"/>
  <c r="H59" i="7" s="1"/>
  <c r="F56" i="7"/>
  <c r="M60" i="7"/>
  <c r="M17" i="7"/>
  <c r="L60" i="7"/>
  <c r="L40" i="7"/>
  <c r="J28" i="7"/>
  <c r="F61" i="7"/>
  <c r="G61" i="7" s="1"/>
  <c r="H61" i="7" s="1"/>
  <c r="J54" i="7"/>
  <c r="F29" i="9" l="1"/>
  <c r="F42" i="9"/>
  <c r="J29" i="9" l="1"/>
  <c r="F30" i="9"/>
  <c r="J42" i="9"/>
  <c r="F43" i="9"/>
  <c r="F28" i="1"/>
  <c r="G28" i="1" s="1"/>
  <c r="G27" i="1"/>
  <c r="Q70" i="1"/>
  <c r="G23" i="1"/>
  <c r="H23" i="1" l="1"/>
  <c r="E20" i="7" s="1"/>
  <c r="D20" i="9"/>
  <c r="D20" i="7"/>
  <c r="K27" i="1"/>
  <c r="D24" i="9"/>
  <c r="D24" i="7"/>
  <c r="I28" i="1"/>
  <c r="E25" i="9" s="1"/>
  <c r="G25" i="9" s="1"/>
  <c r="H25" i="9" s="1"/>
  <c r="D25" i="9"/>
  <c r="D25" i="7"/>
  <c r="J30" i="9"/>
  <c r="L27" i="1"/>
  <c r="J27" i="1"/>
  <c r="H27" i="1"/>
  <c r="E24" i="7" s="1"/>
  <c r="G24" i="7" s="1"/>
  <c r="H24" i="7" s="1"/>
  <c r="J28" i="1"/>
  <c r="K23" i="1"/>
  <c r="I27" i="1"/>
  <c r="E24" i="9" s="1"/>
  <c r="G24" i="9" s="1"/>
  <c r="H24" i="9" s="1"/>
  <c r="M27" i="1"/>
  <c r="K28" i="1"/>
  <c r="L23" i="1"/>
  <c r="I23" i="1"/>
  <c r="E20" i="9" s="1"/>
  <c r="M23" i="1"/>
  <c r="J23" i="1"/>
  <c r="L24" i="9" l="1"/>
  <c r="K24" i="9"/>
  <c r="G20" i="9"/>
  <c r="H20" i="9" s="1"/>
  <c r="K24" i="7"/>
  <c r="L24" i="7"/>
  <c r="K25" i="9"/>
  <c r="L25" i="9"/>
  <c r="K20" i="9"/>
  <c r="L20" i="9"/>
  <c r="L20" i="7"/>
  <c r="K20" i="7"/>
  <c r="K25" i="7"/>
  <c r="L25" i="7"/>
  <c r="G20" i="7"/>
  <c r="Q27" i="1"/>
  <c r="Q23" i="1"/>
  <c r="G68" i="1"/>
  <c r="G50" i="1"/>
  <c r="G51" i="1"/>
  <c r="G52" i="1"/>
  <c r="G53" i="1"/>
  <c r="G54" i="1"/>
  <c r="G55" i="1"/>
  <c r="G56" i="1"/>
  <c r="G49" i="1"/>
  <c r="G37" i="1"/>
  <c r="G38" i="1"/>
  <c r="G39" i="1"/>
  <c r="G40" i="1"/>
  <c r="G41" i="1"/>
  <c r="G42" i="1"/>
  <c r="G43" i="1"/>
  <c r="D40" i="9" s="1"/>
  <c r="G36" i="1"/>
  <c r="G24" i="1"/>
  <c r="G25" i="1"/>
  <c r="G26" i="1"/>
  <c r="G30" i="1"/>
  <c r="D27" i="9" s="1"/>
  <c r="K27" i="9" s="1"/>
  <c r="F29" i="1"/>
  <c r="G29" i="1" s="1"/>
  <c r="H28" i="1"/>
  <c r="E25" i="7" s="1"/>
  <c r="G25" i="7" s="1"/>
  <c r="D50" i="9" l="1"/>
  <c r="D50" i="7"/>
  <c r="D36" i="9"/>
  <c r="D36" i="7"/>
  <c r="D22" i="9"/>
  <c r="D22" i="7"/>
  <c r="D35" i="9"/>
  <c r="D35" i="7"/>
  <c r="D48" i="9"/>
  <c r="D48" i="7"/>
  <c r="D26" i="9"/>
  <c r="D26" i="7"/>
  <c r="D51" i="9"/>
  <c r="D51" i="7"/>
  <c r="D37" i="9"/>
  <c r="D37" i="7"/>
  <c r="H20" i="7"/>
  <c r="D23" i="9"/>
  <c r="D23" i="7"/>
  <c r="D49" i="9"/>
  <c r="D49" i="7"/>
  <c r="D21" i="9"/>
  <c r="D21" i="7"/>
  <c r="D34" i="9"/>
  <c r="D34" i="7"/>
  <c r="D47" i="9"/>
  <c r="D47" i="7"/>
  <c r="D46" i="9"/>
  <c r="D46" i="7"/>
  <c r="D53" i="9"/>
  <c r="K53" i="9" s="1"/>
  <c r="D53" i="7"/>
  <c r="K53" i="7" s="1"/>
  <c r="D38" i="9"/>
  <c r="D38" i="7"/>
  <c r="L36" i="1"/>
  <c r="D33" i="9"/>
  <c r="D33" i="7"/>
  <c r="I68" i="1"/>
  <c r="D69" i="9"/>
  <c r="D69" i="7"/>
  <c r="K40" i="9"/>
  <c r="L40" i="9"/>
  <c r="D39" i="9"/>
  <c r="D39" i="7"/>
  <c r="D52" i="9"/>
  <c r="D52" i="7"/>
  <c r="I25" i="1"/>
  <c r="E22" i="9" s="1"/>
  <c r="G22" i="9" s="1"/>
  <c r="H22" i="9" s="1"/>
  <c r="L25" i="1"/>
  <c r="K25" i="1"/>
  <c r="J25" i="1"/>
  <c r="J42" i="1"/>
  <c r="I42" i="1"/>
  <c r="E39" i="9" s="1"/>
  <c r="G39" i="9" s="1"/>
  <c r="H39" i="9" s="1"/>
  <c r="K42" i="1"/>
  <c r="H42" i="1"/>
  <c r="E39" i="7" s="1"/>
  <c r="G39" i="7" s="1"/>
  <c r="H39" i="7" s="1"/>
  <c r="M55" i="1"/>
  <c r="M51" i="1"/>
  <c r="I24" i="1"/>
  <c r="E21" i="9" s="1"/>
  <c r="L24" i="1"/>
  <c r="G31" i="1"/>
  <c r="I54" i="1"/>
  <c r="E51" i="9" s="1"/>
  <c r="G51" i="9" s="1"/>
  <c r="H51" i="9" s="1"/>
  <c r="H54" i="1"/>
  <c r="E51" i="7" s="1"/>
  <c r="G51" i="7" s="1"/>
  <c r="H51" i="7" s="1"/>
  <c r="I50" i="1"/>
  <c r="E47" i="9" s="1"/>
  <c r="G47" i="9" s="1"/>
  <c r="H47" i="9" s="1"/>
  <c r="J29" i="1"/>
  <c r="J41" i="1"/>
  <c r="M41" i="1"/>
  <c r="I41" i="1"/>
  <c r="E38" i="9" s="1"/>
  <c r="G38" i="9" s="1"/>
  <c r="H38" i="9" s="1"/>
  <c r="L41" i="1"/>
  <c r="H41" i="1"/>
  <c r="E38" i="7" s="1"/>
  <c r="F38" i="7" s="1"/>
  <c r="K41" i="1"/>
  <c r="M30" i="1"/>
  <c r="J40" i="1"/>
  <c r="M40" i="1"/>
  <c r="I40" i="1"/>
  <c r="E37" i="9" s="1"/>
  <c r="G37" i="9" s="1"/>
  <c r="H37" i="9" s="1"/>
  <c r="L40" i="1"/>
  <c r="H40" i="1"/>
  <c r="E37" i="7" s="1"/>
  <c r="G37" i="7" s="1"/>
  <c r="H37" i="7" s="1"/>
  <c r="K40" i="1"/>
  <c r="I53" i="1"/>
  <c r="E50" i="9" s="1"/>
  <c r="G50" i="9" s="1"/>
  <c r="H50" i="9" s="1"/>
  <c r="H53" i="1"/>
  <c r="E50" i="7" s="1"/>
  <c r="G50" i="7" s="1"/>
  <c r="H50" i="7" s="1"/>
  <c r="J53" i="1"/>
  <c r="I26" i="1"/>
  <c r="E23" i="9" s="1"/>
  <c r="G23" i="9" s="1"/>
  <c r="M43" i="1"/>
  <c r="M39" i="1"/>
  <c r="J56" i="1"/>
  <c r="K52" i="1"/>
  <c r="I38" i="1"/>
  <c r="E35" i="9" s="1"/>
  <c r="G35" i="9" s="1"/>
  <c r="H35" i="9" s="1"/>
  <c r="H38" i="1"/>
  <c r="E35" i="7" s="1"/>
  <c r="G35" i="7" s="1"/>
  <c r="H35" i="7" s="1"/>
  <c r="K38" i="1"/>
  <c r="J38" i="1"/>
  <c r="K36" i="1"/>
  <c r="J36" i="1"/>
  <c r="H36" i="1"/>
  <c r="E33" i="7" s="1"/>
  <c r="I36" i="1"/>
  <c r="E33" i="9" s="1"/>
  <c r="G44" i="1"/>
  <c r="M68" i="1"/>
  <c r="N68" i="1"/>
  <c r="H37" i="1"/>
  <c r="E34" i="7" s="1"/>
  <c r="G34" i="7" s="1"/>
  <c r="I49" i="1"/>
  <c r="E46" i="9" s="1"/>
  <c r="G57" i="1"/>
  <c r="H25" i="1"/>
  <c r="E22" i="7" s="1"/>
  <c r="K68" i="1"/>
  <c r="H56" i="1"/>
  <c r="E53" i="7" s="1"/>
  <c r="G53" i="7" s="1"/>
  <c r="M52" i="1"/>
  <c r="I56" i="1"/>
  <c r="E53" i="9" s="1"/>
  <c r="G53" i="9" s="1"/>
  <c r="H52" i="1"/>
  <c r="E49" i="7" s="1"/>
  <c r="G49" i="7" s="1"/>
  <c r="H49" i="7" s="1"/>
  <c r="K49" i="1"/>
  <c r="K53" i="1"/>
  <c r="M37" i="1"/>
  <c r="J50" i="1"/>
  <c r="J54" i="1"/>
  <c r="J30" i="1"/>
  <c r="H49" i="1"/>
  <c r="E46" i="7" s="1"/>
  <c r="M49" i="1"/>
  <c r="K50" i="1"/>
  <c r="J51" i="1"/>
  <c r="I52" i="1"/>
  <c r="E49" i="9" s="1"/>
  <c r="G49" i="9" s="1"/>
  <c r="H49" i="9" s="1"/>
  <c r="M53" i="1"/>
  <c r="K54" i="1"/>
  <c r="J55" i="1"/>
  <c r="M56" i="1"/>
  <c r="K24" i="1"/>
  <c r="H55" i="1"/>
  <c r="E52" i="7" s="1"/>
  <c r="G52" i="7" s="1"/>
  <c r="H52" i="7" s="1"/>
  <c r="K30" i="1"/>
  <c r="J49" i="1"/>
  <c r="H50" i="1"/>
  <c r="E47" i="7" s="1"/>
  <c r="G47" i="7" s="1"/>
  <c r="H47" i="7" s="1"/>
  <c r="M50" i="1"/>
  <c r="K51" i="1"/>
  <c r="J52" i="1"/>
  <c r="M54" i="1"/>
  <c r="K55" i="1"/>
  <c r="K56" i="1"/>
  <c r="I51" i="1"/>
  <c r="E48" i="9" s="1"/>
  <c r="G48" i="9" s="1"/>
  <c r="H48" i="9" s="1"/>
  <c r="J37" i="1"/>
  <c r="H51" i="1"/>
  <c r="E48" i="7" s="1"/>
  <c r="G48" i="7" s="1"/>
  <c r="H48" i="7" s="1"/>
  <c r="I55" i="1"/>
  <c r="E52" i="9" s="1"/>
  <c r="G52" i="9" s="1"/>
  <c r="H52" i="9" s="1"/>
  <c r="J26" i="1"/>
  <c r="K29" i="1"/>
  <c r="I30" i="1"/>
  <c r="E27" i="9" s="1"/>
  <c r="G27" i="9" s="1"/>
  <c r="I37" i="1"/>
  <c r="E34" i="9" s="1"/>
  <c r="G34" i="9" s="1"/>
  <c r="H34" i="9" s="1"/>
  <c r="K37" i="1"/>
  <c r="I39" i="1"/>
  <c r="E36" i="9" s="1"/>
  <c r="G36" i="9" s="1"/>
  <c r="J43" i="1"/>
  <c r="M24" i="1"/>
  <c r="M25" i="1"/>
  <c r="K26" i="1"/>
  <c r="H29" i="1"/>
  <c r="E26" i="7" s="1"/>
  <c r="G26" i="7" s="1"/>
  <c r="H26" i="7" s="1"/>
  <c r="M29" i="1"/>
  <c r="J39" i="1"/>
  <c r="K43" i="1"/>
  <c r="J24" i="1"/>
  <c r="Q28" i="1"/>
  <c r="M26" i="1"/>
  <c r="I29" i="1"/>
  <c r="E26" i="9" s="1"/>
  <c r="G26" i="9" s="1"/>
  <c r="H26" i="9" s="1"/>
  <c r="H30" i="1"/>
  <c r="E27" i="7" s="1"/>
  <c r="G27" i="7" s="1"/>
  <c r="M38" i="1"/>
  <c r="K39" i="1"/>
  <c r="H43" i="1"/>
  <c r="E40" i="7" s="1"/>
  <c r="G40" i="7" s="1"/>
  <c r="H26" i="1"/>
  <c r="E23" i="7" s="1"/>
  <c r="G23" i="7" s="1"/>
  <c r="H23" i="7" s="1"/>
  <c r="H39" i="1"/>
  <c r="E36" i="7" s="1"/>
  <c r="G36" i="7" s="1"/>
  <c r="H36" i="7" s="1"/>
  <c r="I43" i="1"/>
  <c r="E40" i="9" s="1"/>
  <c r="G40" i="9" s="1"/>
  <c r="H40" i="9" s="1"/>
  <c r="K46" i="7" l="1"/>
  <c r="L46" i="7"/>
  <c r="G38" i="7"/>
  <c r="H38" i="7" s="1"/>
  <c r="F41" i="7"/>
  <c r="F68" i="7" s="1"/>
  <c r="J38" i="7"/>
  <c r="L33" i="7"/>
  <c r="K33" i="7"/>
  <c r="K49" i="7"/>
  <c r="L49" i="7"/>
  <c r="K51" i="7"/>
  <c r="L51" i="7"/>
  <c r="G22" i="7"/>
  <c r="E28" i="7"/>
  <c r="G33" i="7"/>
  <c r="E41" i="7"/>
  <c r="G62" i="1"/>
  <c r="G64" i="1" s="1"/>
  <c r="G67" i="1" s="1"/>
  <c r="G45" i="1" s="1"/>
  <c r="D42" i="9" s="1"/>
  <c r="D28" i="9"/>
  <c r="D28" i="7"/>
  <c r="L39" i="7"/>
  <c r="K39" i="7"/>
  <c r="K33" i="9"/>
  <c r="L33" i="9"/>
  <c r="L49" i="9"/>
  <c r="K49" i="9"/>
  <c r="K51" i="9"/>
  <c r="L51" i="9"/>
  <c r="K22" i="9"/>
  <c r="L22" i="9"/>
  <c r="K21" i="7"/>
  <c r="L21" i="7"/>
  <c r="N44" i="1"/>
  <c r="D41" i="9"/>
  <c r="D41" i="7"/>
  <c r="F69" i="9"/>
  <c r="E69" i="9"/>
  <c r="G69" i="9" s="1"/>
  <c r="K35" i="9"/>
  <c r="L35" i="9"/>
  <c r="G33" i="9"/>
  <c r="E41" i="9"/>
  <c r="L52" i="9"/>
  <c r="K52" i="9"/>
  <c r="K46" i="9"/>
  <c r="L46" i="9"/>
  <c r="L22" i="7"/>
  <c r="K22" i="7"/>
  <c r="N57" i="1"/>
  <c r="D54" i="9"/>
  <c r="L54" i="9" s="1"/>
  <c r="D54" i="7"/>
  <c r="L54" i="7" s="1"/>
  <c r="K39" i="9"/>
  <c r="L39" i="9"/>
  <c r="K47" i="7"/>
  <c r="L47" i="7"/>
  <c r="K23" i="7"/>
  <c r="L23" i="7"/>
  <c r="K26" i="7"/>
  <c r="L26" i="7"/>
  <c r="K36" i="7"/>
  <c r="L36" i="7"/>
  <c r="L37" i="7"/>
  <c r="K37" i="7"/>
  <c r="K52" i="7"/>
  <c r="L52" i="7"/>
  <c r="K21" i="9"/>
  <c r="L21" i="9"/>
  <c r="G21" i="9"/>
  <c r="E28" i="9"/>
  <c r="K38" i="7"/>
  <c r="K47" i="9"/>
  <c r="L47" i="9"/>
  <c r="K23" i="9"/>
  <c r="L23" i="9"/>
  <c r="K36" i="9"/>
  <c r="L36" i="9"/>
  <c r="K34" i="7"/>
  <c r="L34" i="7"/>
  <c r="K48" i="7"/>
  <c r="L48" i="7"/>
  <c r="L50" i="7"/>
  <c r="K50" i="7"/>
  <c r="L35" i="7"/>
  <c r="K35" i="7"/>
  <c r="K37" i="9"/>
  <c r="L37" i="9"/>
  <c r="G46" i="9"/>
  <c r="G54" i="9" s="1"/>
  <c r="E54" i="9"/>
  <c r="E56" i="9" s="1"/>
  <c r="G56" i="9" s="1"/>
  <c r="H56" i="9" s="1"/>
  <c r="K26" i="9"/>
  <c r="L26" i="9"/>
  <c r="G46" i="7"/>
  <c r="G54" i="7" s="1"/>
  <c r="E54" i="7"/>
  <c r="E56" i="7" s="1"/>
  <c r="G56" i="7" s="1"/>
  <c r="H56" i="7" s="1"/>
  <c r="L69" i="7"/>
  <c r="K69" i="7"/>
  <c r="K34" i="9"/>
  <c r="L34" i="9"/>
  <c r="L48" i="9"/>
  <c r="K48" i="9"/>
  <c r="K50" i="9"/>
  <c r="L50" i="9"/>
  <c r="M31" i="1"/>
  <c r="Q53" i="1"/>
  <c r="L44" i="1"/>
  <c r="L31" i="1"/>
  <c r="Q56" i="1"/>
  <c r="Q68" i="1"/>
  <c r="Q24" i="1"/>
  <c r="Q42" i="1"/>
  <c r="Q41" i="1"/>
  <c r="Q55" i="1"/>
  <c r="Q43" i="1"/>
  <c r="Q50" i="1"/>
  <c r="Q37" i="1"/>
  <c r="Q36" i="1"/>
  <c r="Q49" i="1"/>
  <c r="Q30" i="1"/>
  <c r="Q51" i="1"/>
  <c r="Q52" i="1"/>
  <c r="Q39" i="1"/>
  <c r="Q26" i="1"/>
  <c r="Q40" i="1"/>
  <c r="Q29" i="1"/>
  <c r="Q54" i="1"/>
  <c r="Q25" i="1"/>
  <c r="Q38" i="1"/>
  <c r="N31" i="1"/>
  <c r="I31" i="1"/>
  <c r="K31" i="1"/>
  <c r="H31" i="1"/>
  <c r="J31" i="1"/>
  <c r="I57" i="1"/>
  <c r="K57" i="1"/>
  <c r="H57" i="1"/>
  <c r="J57" i="1"/>
  <c r="M57" i="1"/>
  <c r="H44" i="1"/>
  <c r="K44" i="1"/>
  <c r="J44" i="1"/>
  <c r="M44" i="1"/>
  <c r="I44" i="1"/>
  <c r="H54" i="9" l="1"/>
  <c r="H33" i="9"/>
  <c r="G41" i="9"/>
  <c r="H41" i="9" s="1"/>
  <c r="G41" i="7"/>
  <c r="H41" i="7" s="1"/>
  <c r="H33" i="7"/>
  <c r="N64" i="1"/>
  <c r="K28" i="7"/>
  <c r="L38" i="7"/>
  <c r="J38" i="9"/>
  <c r="J41" i="7"/>
  <c r="L41" i="7" s="1"/>
  <c r="K28" i="9"/>
  <c r="K41" i="7"/>
  <c r="H22" i="7"/>
  <c r="G28" i="7"/>
  <c r="H28" i="7" s="1"/>
  <c r="H54" i="7"/>
  <c r="G28" i="9"/>
  <c r="H28" i="9" s="1"/>
  <c r="H21" i="9"/>
  <c r="J69" i="9"/>
  <c r="K69" i="9" s="1"/>
  <c r="F70" i="9"/>
  <c r="F17" i="9"/>
  <c r="D64" i="7"/>
  <c r="D68" i="7" s="1"/>
  <c r="D70" i="7" s="1"/>
  <c r="L28" i="7"/>
  <c r="K42" i="9"/>
  <c r="L42" i="9"/>
  <c r="K54" i="9"/>
  <c r="D64" i="9"/>
  <c r="D68" i="9" s="1"/>
  <c r="D70" i="9" s="1"/>
  <c r="L28" i="9"/>
  <c r="K54" i="7"/>
  <c r="K64" i="1"/>
  <c r="I64" i="1"/>
  <c r="J64" i="1"/>
  <c r="L64" i="1"/>
  <c r="M64" i="1"/>
  <c r="H64" i="1"/>
  <c r="Q57" i="1"/>
  <c r="Q44" i="1"/>
  <c r="N62" i="1"/>
  <c r="J41" i="9" l="1"/>
  <c r="L38" i="9"/>
  <c r="K38" i="9"/>
  <c r="K41" i="9" s="1"/>
  <c r="K43" i="9" s="1"/>
  <c r="G32" i="1"/>
  <c r="K67" i="1"/>
  <c r="K69" i="1" s="1"/>
  <c r="K71" i="1" s="1"/>
  <c r="J67" i="1"/>
  <c r="J69" i="1" s="1"/>
  <c r="J71" i="1" s="1"/>
  <c r="M67" i="1"/>
  <c r="M69" i="1" s="1"/>
  <c r="M71" i="1" s="1"/>
  <c r="I67" i="1"/>
  <c r="L67" i="1"/>
  <c r="L69" i="1" s="1"/>
  <c r="L71" i="1" s="1"/>
  <c r="H67" i="1"/>
  <c r="G69" i="1"/>
  <c r="G71" i="1" s="1"/>
  <c r="N67" i="1"/>
  <c r="G58" i="1"/>
  <c r="D42" i="7"/>
  <c r="L41" i="9" l="1"/>
  <c r="J43" i="9"/>
  <c r="D17" i="7"/>
  <c r="D17" i="9"/>
  <c r="E68" i="7"/>
  <c r="J59" i="9"/>
  <c r="I69" i="1"/>
  <c r="I71" i="1" s="1"/>
  <c r="E17" i="9" s="1"/>
  <c r="E68" i="9"/>
  <c r="D29" i="7"/>
  <c r="D29" i="9"/>
  <c r="J59" i="7"/>
  <c r="I45" i="1"/>
  <c r="I46" i="1" s="1"/>
  <c r="L45" i="1"/>
  <c r="L46" i="1" s="1"/>
  <c r="H45" i="1"/>
  <c r="K45" i="1"/>
  <c r="K46" i="1" s="1"/>
  <c r="J45" i="1"/>
  <c r="J46" i="1" s="1"/>
  <c r="M45" i="1"/>
  <c r="M46" i="1" s="1"/>
  <c r="Q67" i="1"/>
  <c r="I32" i="1"/>
  <c r="L32" i="1"/>
  <c r="L33" i="1" s="1"/>
  <c r="J32" i="1"/>
  <c r="J33" i="1" s="1"/>
  <c r="K32" i="1"/>
  <c r="K33" i="1" s="1"/>
  <c r="M32" i="1"/>
  <c r="H32" i="1"/>
  <c r="E29" i="7" s="1"/>
  <c r="H69" i="1"/>
  <c r="H71" i="1" s="1"/>
  <c r="N45" i="1"/>
  <c r="G46" i="1"/>
  <c r="N58" i="1"/>
  <c r="K58" i="1"/>
  <c r="K59" i="1" s="1"/>
  <c r="H58" i="1"/>
  <c r="M58" i="1"/>
  <c r="M59" i="1" s="1"/>
  <c r="I58" i="1"/>
  <c r="I59" i="1" s="1"/>
  <c r="J58" i="1"/>
  <c r="J59" i="1" s="1"/>
  <c r="G59" i="1"/>
  <c r="N32" i="1"/>
  <c r="G33" i="1"/>
  <c r="D30" i="9" s="1"/>
  <c r="L30" i="9" s="1"/>
  <c r="N69" i="1"/>
  <c r="G17" i="9" l="1"/>
  <c r="H17" i="9" s="1"/>
  <c r="E30" i="7"/>
  <c r="E42" i="7"/>
  <c r="E43" i="7" s="1"/>
  <c r="E42" i="9"/>
  <c r="K29" i="9"/>
  <c r="K30" i="9" s="1"/>
  <c r="L29" i="9"/>
  <c r="J55" i="7"/>
  <c r="K55" i="7" s="1"/>
  <c r="K56" i="7" s="1"/>
  <c r="J55" i="9"/>
  <c r="E70" i="9"/>
  <c r="G68" i="9"/>
  <c r="D43" i="7"/>
  <c r="D43" i="9"/>
  <c r="L43" i="9" s="1"/>
  <c r="I33" i="1"/>
  <c r="I20" i="1" s="1"/>
  <c r="E29" i="9"/>
  <c r="E70" i="7"/>
  <c r="K59" i="9"/>
  <c r="K61" i="9" s="1"/>
  <c r="J61" i="9"/>
  <c r="L61" i="9" s="1"/>
  <c r="L59" i="9"/>
  <c r="Q69" i="1"/>
  <c r="E17" i="7"/>
  <c r="J61" i="7"/>
  <c r="L61" i="7" s="1"/>
  <c r="L59" i="7"/>
  <c r="K59" i="7"/>
  <c r="K61" i="7" s="1"/>
  <c r="D30" i="7"/>
  <c r="G20" i="1"/>
  <c r="K20" i="1"/>
  <c r="J20" i="1"/>
  <c r="L20" i="1"/>
  <c r="Q58" i="1"/>
  <c r="Q45" i="1"/>
  <c r="Q32" i="1"/>
  <c r="N46" i="1"/>
  <c r="N33" i="1"/>
  <c r="N59" i="1"/>
  <c r="H59" i="1"/>
  <c r="Q59" i="1" s="1"/>
  <c r="H46" i="1"/>
  <c r="Q46" i="1" s="1"/>
  <c r="H33" i="1"/>
  <c r="E43" i="9" l="1"/>
  <c r="G43" i="9" s="1"/>
  <c r="H43" i="9" s="1"/>
  <c r="G42" i="9"/>
  <c r="H42" i="9" s="1"/>
  <c r="K55" i="9"/>
  <c r="K56" i="9" s="1"/>
  <c r="J56" i="9"/>
  <c r="L56" i="9" s="1"/>
  <c r="E30" i="9"/>
  <c r="G29" i="9"/>
  <c r="G70" i="9"/>
  <c r="H70" i="9" s="1"/>
  <c r="H68" i="9"/>
  <c r="J56" i="7"/>
  <c r="L56" i="7" s="1"/>
  <c r="H20" i="1"/>
  <c r="J17" i="9" s="1"/>
  <c r="N20" i="1"/>
  <c r="N71" i="1" s="1"/>
  <c r="L17" i="9" l="1"/>
  <c r="K17" i="9"/>
  <c r="H29" i="9"/>
  <c r="G30" i="9"/>
  <c r="H30" i="9" s="1"/>
  <c r="Q31" i="1"/>
  <c r="M33" i="1"/>
  <c r="M20" i="1" s="1"/>
  <c r="Q33" i="1" l="1"/>
  <c r="Q20" i="1"/>
  <c r="F70" i="7"/>
  <c r="F42" i="7"/>
  <c r="J42" i="7" s="1"/>
  <c r="G68" i="7"/>
  <c r="G70" i="7" s="1"/>
  <c r="H70" i="7" s="1"/>
  <c r="J68" i="7"/>
  <c r="F29" i="7"/>
  <c r="J29" i="7" s="1"/>
  <c r="J70" i="7" l="1"/>
  <c r="J68" i="9"/>
  <c r="F43" i="7"/>
  <c r="G43" i="7" s="1"/>
  <c r="H43" i="7" s="1"/>
  <c r="H68" i="7"/>
  <c r="F30" i="7"/>
  <c r="G29" i="7"/>
  <c r="G42" i="7"/>
  <c r="H42" i="7" s="1"/>
  <c r="L29" i="7"/>
  <c r="J30" i="7"/>
  <c r="L30" i="7" s="1"/>
  <c r="K29" i="7"/>
  <c r="K30" i="7" s="1"/>
  <c r="K42" i="7"/>
  <c r="K43" i="7" s="1"/>
  <c r="J43" i="7"/>
  <c r="L43" i="7" s="1"/>
  <c r="L42" i="7"/>
  <c r="L68" i="7"/>
  <c r="L70" i="7" s="1"/>
  <c r="K68" i="7"/>
  <c r="K70" i="7" s="1"/>
  <c r="L68" i="9" l="1"/>
  <c r="L70" i="9" s="1"/>
  <c r="K68" i="9"/>
  <c r="K70" i="9" s="1"/>
  <c r="J70" i="9"/>
  <c r="F17" i="7"/>
  <c r="J17" i="7" s="1"/>
  <c r="K17" i="7" s="1"/>
  <c r="H29" i="7"/>
  <c r="G30" i="7"/>
  <c r="H30" i="7" s="1"/>
  <c r="G17" i="7" l="1"/>
  <c r="H17" i="7" s="1"/>
  <c r="L17" i="7"/>
</calcChain>
</file>

<file path=xl/sharedStrings.xml><?xml version="1.0" encoding="utf-8"?>
<sst xmlns="http://schemas.openxmlformats.org/spreadsheetml/2006/main" count="284" uniqueCount="108">
  <si>
    <t>Unit</t>
  </si>
  <si>
    <t>Budget</t>
  </si>
  <si>
    <t>Output 1</t>
  </si>
  <si>
    <t>Activity 1</t>
  </si>
  <si>
    <t>Activity 2</t>
  </si>
  <si>
    <t>Salary 1</t>
  </si>
  <si>
    <t>month</t>
  </si>
  <si>
    <t>Salary 2</t>
  </si>
  <si>
    <t>Salary 3</t>
  </si>
  <si>
    <t>Output 2</t>
  </si>
  <si>
    <t>Output 3</t>
  </si>
  <si>
    <t>Audit</t>
  </si>
  <si>
    <t>Unit Cost</t>
  </si>
  <si>
    <t>Quantity</t>
  </si>
  <si>
    <t>Contingency</t>
  </si>
  <si>
    <t>Identifying information - grant and partner</t>
  </si>
  <si>
    <t>Partner</t>
  </si>
  <si>
    <t xml:space="preserve">File no. </t>
  </si>
  <si>
    <t>Budget currency</t>
  </si>
  <si>
    <t>Date</t>
  </si>
  <si>
    <t>Prepared by</t>
  </si>
  <si>
    <t>Activity 3</t>
  </si>
  <si>
    <t xml:space="preserve">Investment </t>
  </si>
  <si>
    <t>Travel cost</t>
  </si>
  <si>
    <t>Indirect cost</t>
  </si>
  <si>
    <t>Overhead (max. 7% of direct cost)</t>
  </si>
  <si>
    <t>Total direct cost output 2</t>
  </si>
  <si>
    <t>Share indirect cost output 1</t>
  </si>
  <si>
    <t>Total direct cost output 1</t>
  </si>
  <si>
    <t>Outcome (total budget)</t>
  </si>
  <si>
    <t>Total indirect cost</t>
  </si>
  <si>
    <t>Total budget output 3</t>
  </si>
  <si>
    <t>Total direct cost output 3</t>
  </si>
  <si>
    <t>Share indirect cost output 3</t>
  </si>
  <si>
    <t>Share indirect cost output 2</t>
  </si>
  <si>
    <t>Total budget output 2</t>
  </si>
  <si>
    <t>item</t>
  </si>
  <si>
    <t>lumpsum</t>
  </si>
  <si>
    <t>workshop</t>
  </si>
  <si>
    <t>DKK</t>
  </si>
  <si>
    <t xml:space="preserve">MFA file no. </t>
  </si>
  <si>
    <t>name of partner</t>
  </si>
  <si>
    <t>Engagement</t>
  </si>
  <si>
    <t>name of project/programme/engagement</t>
  </si>
  <si>
    <t>name of person responsible for preparing budget</t>
  </si>
  <si>
    <t>unit</t>
  </si>
  <si>
    <t>operation month</t>
  </si>
  <si>
    <t>seminar</t>
  </si>
  <si>
    <t>trip</t>
  </si>
  <si>
    <t>study</t>
  </si>
  <si>
    <t>meeting</t>
  </si>
  <si>
    <t>materials</t>
  </si>
  <si>
    <t>check sum</t>
  </si>
  <si>
    <t>Contingency activated (upon approval)</t>
  </si>
  <si>
    <t>Total budget output 1</t>
  </si>
  <si>
    <t>dd.mm.yyyy (date of preparation of budget)</t>
  </si>
  <si>
    <t>dd.mm.yyyy (date of preparation of report</t>
  </si>
  <si>
    <t>name of person responsible for preparing report</t>
  </si>
  <si>
    <t>Original outcome (total budget/grant)</t>
  </si>
  <si>
    <t>Reporting period</t>
  </si>
  <si>
    <t>Engagement period</t>
  </si>
  <si>
    <t>dd.mm.yyyy - dd.mm.yyyy (total budget period)</t>
  </si>
  <si>
    <t>Budget vs. actual period</t>
  </si>
  <si>
    <t>Budget variance</t>
  </si>
  <si>
    <t>Budget variance %</t>
  </si>
  <si>
    <t xml:space="preserve">Comments budget variance </t>
  </si>
  <si>
    <t>1 workshop postphoned</t>
  </si>
  <si>
    <t>Balance available to date</t>
  </si>
  <si>
    <t>Purchase price higher than anticipated</t>
  </si>
  <si>
    <t>Start of employee delayed 2 months</t>
  </si>
  <si>
    <t>Recruitment delayed 3 months</t>
  </si>
  <si>
    <t>Activities concluded faster than anticipated</t>
  </si>
  <si>
    <t>Budget utilisation</t>
  </si>
  <si>
    <t>Grant utilised to date %</t>
  </si>
  <si>
    <t>amount of originally approved budget/grant</t>
  </si>
  <si>
    <r>
      <t xml:space="preserve">mm.yyyy-mm.yyyy (period covered by the budget monitoring report) </t>
    </r>
    <r>
      <rPr>
        <i/>
        <sz val="11"/>
        <color theme="1"/>
        <rFont val="Calibri"/>
        <family val="2"/>
        <scheme val="minor"/>
      </rPr>
      <t xml:space="preserve">In </t>
    </r>
    <r>
      <rPr>
        <i/>
        <sz val="11"/>
        <color theme="1"/>
        <rFont val="Calibri"/>
        <family val="2"/>
      </rPr>
      <t>this example year 2 is chosen as reporting period</t>
    </r>
  </si>
  <si>
    <t>Activities postphoned due to delayed recruitment</t>
  </si>
  <si>
    <t>DRAFT Template output-based engagement budget</t>
  </si>
  <si>
    <t>DRAFT Template budget monitoring report</t>
  </si>
  <si>
    <t>DKK (or other currency)</t>
  </si>
  <si>
    <t>White cells to be filled out</t>
  </si>
  <si>
    <t>Administrative costs (max. 7% of direct cost)</t>
  </si>
  <si>
    <t>Exchange rate (DKK/other currency)</t>
  </si>
  <si>
    <t>Grey cells contain either text or formulars</t>
  </si>
  <si>
    <t>NOTE: See Chapter 3 for further guidance on administrative costs and contingency</t>
  </si>
  <si>
    <t>Total direct cost</t>
  </si>
  <si>
    <t>Total budget</t>
  </si>
  <si>
    <t>Year 1 (Q1-Q2)</t>
  </si>
  <si>
    <t>Year 2 (Q3-Q4)</t>
  </si>
  <si>
    <t>Year 1 (Q3-Q4)</t>
  </si>
  <si>
    <t>Year 2 (Q1-Q2)</t>
  </si>
  <si>
    <t>Year 3 (Q1-Q2)</t>
  </si>
  <si>
    <t>Year 3 (Q3-Q4)</t>
  </si>
  <si>
    <r>
      <t>Total budget</t>
    </r>
    <r>
      <rPr>
        <b/>
        <i/>
        <sz val="11"/>
        <color theme="0"/>
        <rFont val="Calibri"/>
        <family val="2"/>
      </rPr>
      <t xml:space="preserve"> 
(year 1-3)</t>
    </r>
  </si>
  <si>
    <r>
      <t>Budget period</t>
    </r>
    <r>
      <rPr>
        <b/>
        <i/>
        <sz val="11"/>
        <color theme="0"/>
        <rFont val="Calibri"/>
        <family val="2"/>
      </rPr>
      <t xml:space="preserve"> 
(year 1 Q3-Q4)</t>
    </r>
  </si>
  <si>
    <r>
      <t xml:space="preserve">Accumulated actual spent 
</t>
    </r>
    <r>
      <rPr>
        <b/>
        <i/>
        <sz val="11"/>
        <color theme="0"/>
        <rFont val="Calibri"/>
        <family val="2"/>
        <scheme val="minor"/>
      </rPr>
      <t>(year 1)</t>
    </r>
  </si>
  <si>
    <r>
      <t xml:space="preserve">Forecast 
</t>
    </r>
    <r>
      <rPr>
        <b/>
        <i/>
        <sz val="11"/>
        <color theme="0"/>
        <rFont val="Calibri"/>
        <family val="2"/>
        <scheme val="minor"/>
      </rPr>
      <t>(year 2-3)</t>
    </r>
  </si>
  <si>
    <t xml:space="preserve">Total Output 1-3 </t>
  </si>
  <si>
    <r>
      <t>Budget period</t>
    </r>
    <r>
      <rPr>
        <b/>
        <i/>
        <sz val="11"/>
        <color theme="0"/>
        <rFont val="Calibri"/>
        <family val="2"/>
      </rPr>
      <t xml:space="preserve"> 
(year 1 Q1-Q2)</t>
    </r>
  </si>
  <si>
    <r>
      <t xml:space="preserve">Actual spent period 
</t>
    </r>
    <r>
      <rPr>
        <b/>
        <i/>
        <sz val="11"/>
        <color theme="0"/>
        <rFont val="Calibri"/>
        <family val="2"/>
      </rPr>
      <t>(year 1 Q1-Q2)</t>
    </r>
  </si>
  <si>
    <t>Activities postphoned to be caught up in year 2</t>
  </si>
  <si>
    <r>
      <t xml:space="preserve">Actual spent period 
</t>
    </r>
    <r>
      <rPr>
        <b/>
        <i/>
        <sz val="11"/>
        <color theme="0"/>
        <rFont val="Calibri"/>
        <family val="2"/>
      </rPr>
      <t>(year 1 Q3-Q4)</t>
    </r>
  </si>
  <si>
    <t>Postponed workshop held</t>
  </si>
  <si>
    <t>Less activities than anticipated</t>
  </si>
  <si>
    <t>Seminar postponed due to late recruitment</t>
  </si>
  <si>
    <t>Higher cost due to higher total cost in the beginning of project</t>
  </si>
  <si>
    <t>Employee salary lower than anticipated</t>
  </si>
  <si>
    <t>Contingency (max 10% of total direct cost excluding contingency)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</si>
</sst>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0"/>
      <name val="Calibri"/>
      <family val="2"/>
    </font>
    <font>
      <b/>
      <i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0D2B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0" fillId="2" borderId="0" xfId="0" applyFill="1"/>
    <xf numFmtId="0" fontId="0" fillId="4" borderId="0" xfId="0" applyFill="1"/>
    <xf numFmtId="0" fontId="2" fillId="2" borderId="0" xfId="0" applyFont="1" applyFill="1"/>
    <xf numFmtId="166" fontId="0" fillId="0" borderId="0" xfId="1" applyNumberFormat="1" applyFont="1"/>
    <xf numFmtId="166" fontId="0" fillId="0" borderId="0" xfId="0" applyNumberFormat="1"/>
    <xf numFmtId="0" fontId="3" fillId="3" borderId="17" xfId="0" applyFont="1" applyFill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5" borderId="12" xfId="0" applyFill="1" applyBorder="1"/>
    <xf numFmtId="166" fontId="0" fillId="0" borderId="5" xfId="1" applyNumberFormat="1" applyFont="1" applyBorder="1"/>
    <xf numFmtId="166" fontId="0" fillId="0" borderId="5" xfId="0" applyNumberFormat="1" applyBorder="1"/>
    <xf numFmtId="0" fontId="0" fillId="5" borderId="10" xfId="0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166" fontId="0" fillId="0" borderId="0" xfId="1" applyNumberFormat="1" applyFont="1" applyBorder="1"/>
    <xf numFmtId="166" fontId="0" fillId="0" borderId="0" xfId="0" applyNumberFormat="1" applyBorder="1"/>
    <xf numFmtId="166" fontId="0" fillId="0" borderId="8" xfId="0" applyNumberFormat="1" applyBorder="1"/>
    <xf numFmtId="166" fontId="0" fillId="0" borderId="6" xfId="0" applyNumberFormat="1" applyBorder="1"/>
    <xf numFmtId="0" fontId="0" fillId="5" borderId="0" xfId="0" applyFill="1" applyBorder="1"/>
    <xf numFmtId="0" fontId="3" fillId="3" borderId="21" xfId="0" applyFont="1" applyFill="1" applyBorder="1"/>
    <xf numFmtId="0" fontId="3" fillId="3" borderId="22" xfId="0" applyFont="1" applyFill="1" applyBorder="1"/>
    <xf numFmtId="166" fontId="0" fillId="3" borderId="22" xfId="0" applyNumberFormat="1" applyFont="1" applyFill="1" applyBorder="1"/>
    <xf numFmtId="166" fontId="0" fillId="3" borderId="23" xfId="0" applyNumberFormat="1" applyFont="1" applyFill="1" applyBorder="1"/>
    <xf numFmtId="166" fontId="3" fillId="3" borderId="19" xfId="1" applyNumberFormat="1" applyFont="1" applyFill="1" applyBorder="1"/>
    <xf numFmtId="0" fontId="3" fillId="3" borderId="23" xfId="0" applyFont="1" applyFill="1" applyBorder="1"/>
    <xf numFmtId="0" fontId="0" fillId="0" borderId="25" xfId="0" applyBorder="1"/>
    <xf numFmtId="0" fontId="0" fillId="0" borderId="15" xfId="0" applyBorder="1"/>
    <xf numFmtId="0" fontId="3" fillId="0" borderId="12" xfId="0" applyFont="1" applyBorder="1"/>
    <xf numFmtId="0" fontId="0" fillId="0" borderId="26" xfId="0" applyBorder="1"/>
    <xf numFmtId="0" fontId="0" fillId="0" borderId="28" xfId="0" applyBorder="1"/>
    <xf numFmtId="0" fontId="0" fillId="5" borderId="11" xfId="0" applyFill="1" applyBorder="1"/>
    <xf numFmtId="166" fontId="0" fillId="0" borderId="25" xfId="1" applyNumberFormat="1" applyFont="1" applyBorder="1"/>
    <xf numFmtId="166" fontId="0" fillId="0" borderId="15" xfId="1" applyNumberFormat="1" applyFont="1" applyBorder="1"/>
    <xf numFmtId="166" fontId="0" fillId="0" borderId="14" xfId="1" applyNumberFormat="1" applyFont="1" applyBorder="1"/>
    <xf numFmtId="166" fontId="0" fillId="0" borderId="26" xfId="1" applyNumberFormat="1" applyFont="1" applyBorder="1"/>
    <xf numFmtId="0" fontId="0" fillId="3" borderId="17" xfId="0" applyFill="1" applyBorder="1"/>
    <xf numFmtId="0" fontId="0" fillId="3" borderId="27" xfId="0" applyFill="1" applyBorder="1"/>
    <xf numFmtId="0" fontId="2" fillId="2" borderId="0" xfId="0" applyFont="1" applyFill="1" applyBorder="1"/>
    <xf numFmtId="0" fontId="0" fillId="2" borderId="0" xfId="0" applyFill="1" applyBorder="1"/>
    <xf numFmtId="166" fontId="0" fillId="2" borderId="0" xfId="0" applyNumberFormat="1" applyFill="1" applyBorder="1"/>
    <xf numFmtId="0" fontId="3" fillId="2" borderId="0" xfId="0" applyFont="1" applyFill="1" applyBorder="1"/>
    <xf numFmtId="166" fontId="0" fillId="2" borderId="0" xfId="0" applyNumberFormat="1" applyFont="1" applyFill="1" applyBorder="1"/>
    <xf numFmtId="0" fontId="0" fillId="2" borderId="0" xfId="0" applyFont="1" applyFill="1" applyBorder="1"/>
    <xf numFmtId="166" fontId="3" fillId="3" borderId="30" xfId="1" applyNumberFormat="1" applyFont="1" applyFill="1" applyBorder="1"/>
    <xf numFmtId="166" fontId="3" fillId="3" borderId="23" xfId="1" applyNumberFormat="1" applyFont="1" applyFill="1" applyBorder="1"/>
    <xf numFmtId="0" fontId="0" fillId="5" borderId="8" xfId="0" applyFill="1" applyBorder="1"/>
    <xf numFmtId="166" fontId="3" fillId="3" borderId="24" xfId="1" applyNumberFormat="1" applyFont="1" applyFill="1" applyBorder="1"/>
    <xf numFmtId="166" fontId="0" fillId="3" borderId="17" xfId="1" applyNumberFormat="1" applyFont="1" applyFill="1" applyBorder="1"/>
    <xf numFmtId="0" fontId="0" fillId="0" borderId="29" xfId="0" applyBorder="1"/>
    <xf numFmtId="0" fontId="0" fillId="5" borderId="9" xfId="0" applyFill="1" applyBorder="1"/>
    <xf numFmtId="166" fontId="0" fillId="0" borderId="20" xfId="0" applyNumberFormat="1" applyBorder="1"/>
    <xf numFmtId="166" fontId="0" fillId="5" borderId="0" xfId="0" applyNumberFormat="1" applyFill="1" applyBorder="1"/>
    <xf numFmtId="166" fontId="0" fillId="5" borderId="28" xfId="0" applyNumberFormat="1" applyFill="1" applyBorder="1"/>
    <xf numFmtId="166" fontId="3" fillId="3" borderId="22" xfId="0" applyNumberFormat="1" applyFont="1" applyFill="1" applyBorder="1"/>
    <xf numFmtId="166" fontId="3" fillId="3" borderId="23" xfId="0" applyNumberFormat="1" applyFont="1" applyFill="1" applyBorder="1"/>
    <xf numFmtId="0" fontId="3" fillId="2" borderId="0" xfId="0" applyFont="1" applyFill="1"/>
    <xf numFmtId="166" fontId="0" fillId="3" borderId="27" xfId="1" applyNumberFormat="1" applyFont="1" applyFill="1" applyBorder="1"/>
    <xf numFmtId="166" fontId="0" fillId="3" borderId="24" xfId="1" applyNumberFormat="1" applyFont="1" applyFill="1" applyBorder="1"/>
    <xf numFmtId="166" fontId="0" fillId="4" borderId="0" xfId="0" applyNumberFormat="1" applyFill="1" applyBorder="1"/>
    <xf numFmtId="166" fontId="3" fillId="5" borderId="12" xfId="1" applyNumberFormat="1" applyFont="1" applyFill="1" applyBorder="1"/>
    <xf numFmtId="166" fontId="0" fillId="5" borderId="10" xfId="0" applyNumberFormat="1" applyFill="1" applyBorder="1"/>
    <xf numFmtId="166" fontId="0" fillId="5" borderId="11" xfId="0" applyNumberFormat="1" applyFill="1" applyBorder="1"/>
    <xf numFmtId="166" fontId="0" fillId="5" borderId="15" xfId="1" applyNumberFormat="1" applyFont="1" applyFill="1" applyBorder="1"/>
    <xf numFmtId="166" fontId="0" fillId="5" borderId="8" xfId="0" applyNumberFormat="1" applyFill="1" applyBorder="1"/>
    <xf numFmtId="0" fontId="2" fillId="4" borderId="0" xfId="0" applyFont="1" applyFill="1" applyBorder="1"/>
    <xf numFmtId="0" fontId="0" fillId="4" borderId="0" xfId="0" applyFill="1" applyBorder="1"/>
    <xf numFmtId="0" fontId="2" fillId="4" borderId="0" xfId="0" applyFont="1" applyFill="1"/>
    <xf numFmtId="0" fontId="3" fillId="4" borderId="0" xfId="0" applyFont="1" applyFill="1" applyBorder="1"/>
    <xf numFmtId="166" fontId="0" fillId="4" borderId="0" xfId="0" applyNumberFormat="1" applyFont="1" applyFill="1" applyBorder="1"/>
    <xf numFmtId="166" fontId="0" fillId="4" borderId="0" xfId="1" applyNumberFormat="1" applyFont="1" applyFill="1"/>
    <xf numFmtId="0" fontId="8" fillId="4" borderId="0" xfId="0" applyFont="1" applyFill="1"/>
    <xf numFmtId="166" fontId="0" fillId="5" borderId="0" xfId="1" applyNumberFormat="1" applyFont="1" applyFill="1" applyBorder="1"/>
    <xf numFmtId="3" fontId="0" fillId="0" borderId="0" xfId="0" applyNumberFormat="1"/>
    <xf numFmtId="9" fontId="0" fillId="0" borderId="0" xfId="0" applyNumberFormat="1"/>
    <xf numFmtId="166" fontId="0" fillId="0" borderId="28" xfId="1" applyNumberFormat="1" applyFont="1" applyBorder="1"/>
    <xf numFmtId="166" fontId="0" fillId="0" borderId="8" xfId="1" applyNumberFormat="1" applyFont="1" applyBorder="1"/>
    <xf numFmtId="166" fontId="0" fillId="0" borderId="6" xfId="1" applyNumberFormat="1" applyFont="1" applyBorder="1"/>
    <xf numFmtId="166" fontId="0" fillId="5" borderId="11" xfId="1" applyNumberFormat="1" applyFont="1" applyFill="1" applyBorder="1"/>
    <xf numFmtId="9" fontId="0" fillId="3" borderId="17" xfId="2" applyFont="1" applyFill="1" applyBorder="1"/>
    <xf numFmtId="166" fontId="0" fillId="0" borderId="28" xfId="0" applyNumberFormat="1" applyBorder="1"/>
    <xf numFmtId="166" fontId="0" fillId="5" borderId="28" xfId="1" applyNumberFormat="1" applyFont="1" applyFill="1" applyBorder="1"/>
    <xf numFmtId="166" fontId="0" fillId="0" borderId="29" xfId="1" applyNumberFormat="1" applyFont="1" applyBorder="1"/>
    <xf numFmtId="166" fontId="0" fillId="3" borderId="27" xfId="0" applyNumberFormat="1" applyFill="1" applyBorder="1"/>
    <xf numFmtId="9" fontId="0" fillId="3" borderId="27" xfId="2" applyFont="1" applyFill="1" applyBorder="1"/>
    <xf numFmtId="166" fontId="7" fillId="3" borderId="27" xfId="1" applyNumberFormat="1" applyFont="1" applyFill="1" applyBorder="1"/>
    <xf numFmtId="0" fontId="7" fillId="0" borderId="0" xfId="0" applyFont="1"/>
    <xf numFmtId="0" fontId="6" fillId="3" borderId="19" xfId="0" applyFont="1" applyFill="1" applyBorder="1"/>
    <xf numFmtId="166" fontId="7" fillId="0" borderId="28" xfId="0" applyNumberFormat="1" applyFont="1" applyBorder="1"/>
    <xf numFmtId="166" fontId="7" fillId="0" borderId="8" xfId="0" applyNumberFormat="1" applyFont="1" applyBorder="1"/>
    <xf numFmtId="0" fontId="7" fillId="0" borderId="8" xfId="0" applyFont="1" applyBorder="1"/>
    <xf numFmtId="166" fontId="7" fillId="0" borderId="6" xfId="0" applyNumberFormat="1" applyFont="1" applyBorder="1"/>
    <xf numFmtId="166" fontId="7" fillId="5" borderId="11" xfId="0" applyNumberFormat="1" applyFont="1" applyFill="1" applyBorder="1"/>
    <xf numFmtId="166" fontId="7" fillId="5" borderId="8" xfId="0" applyNumberFormat="1" applyFont="1" applyFill="1" applyBorder="1"/>
    <xf numFmtId="166" fontId="7" fillId="3" borderId="23" xfId="0" applyNumberFormat="1" applyFont="1" applyFill="1" applyBorder="1"/>
    <xf numFmtId="0" fontId="7" fillId="4" borderId="0" xfId="0" applyFont="1" applyFill="1"/>
    <xf numFmtId="166" fontId="7" fillId="0" borderId="8" xfId="1" applyNumberFormat="1" applyFont="1" applyBorder="1"/>
    <xf numFmtId="166" fontId="6" fillId="3" borderId="23" xfId="0" applyNumberFormat="1" applyFont="1" applyFill="1" applyBorder="1"/>
    <xf numFmtId="166" fontId="7" fillId="5" borderId="28" xfId="0" applyNumberFormat="1" applyFont="1" applyFill="1" applyBorder="1"/>
    <xf numFmtId="166" fontId="0" fillId="5" borderId="12" xfId="1" applyNumberFormat="1" applyFont="1" applyFill="1" applyBorder="1"/>
    <xf numFmtId="9" fontId="0" fillId="0" borderId="25" xfId="2" applyNumberFormat="1" applyFont="1" applyBorder="1"/>
    <xf numFmtId="9" fontId="0" fillId="0" borderId="15" xfId="2" applyNumberFormat="1" applyFont="1" applyBorder="1"/>
    <xf numFmtId="9" fontId="0" fillId="5" borderId="12" xfId="2" applyNumberFormat="1" applyFont="1" applyFill="1" applyBorder="1"/>
    <xf numFmtId="9" fontId="0" fillId="5" borderId="15" xfId="0" applyNumberFormat="1" applyFill="1" applyBorder="1"/>
    <xf numFmtId="9" fontId="0" fillId="3" borderId="30" xfId="2" applyNumberFormat="1" applyFont="1" applyFill="1" applyBorder="1"/>
    <xf numFmtId="9" fontId="0" fillId="0" borderId="25" xfId="2" applyFont="1" applyBorder="1"/>
    <xf numFmtId="166" fontId="0" fillId="5" borderId="12" xfId="0" applyNumberFormat="1" applyFill="1" applyBorder="1"/>
    <xf numFmtId="166" fontId="0" fillId="0" borderId="15" xfId="0" applyNumberFormat="1" applyBorder="1"/>
    <xf numFmtId="166" fontId="0" fillId="5" borderId="25" xfId="1" applyNumberFormat="1" applyFont="1" applyFill="1" applyBorder="1"/>
    <xf numFmtId="9" fontId="0" fillId="5" borderId="25" xfId="2" applyNumberFormat="1" applyFont="1" applyFill="1" applyBorder="1"/>
    <xf numFmtId="9" fontId="0" fillId="0" borderId="15" xfId="2" applyFont="1" applyBorder="1"/>
    <xf numFmtId="9" fontId="0" fillId="0" borderId="14" xfId="2" applyFont="1" applyBorder="1"/>
    <xf numFmtId="9" fontId="0" fillId="5" borderId="12" xfId="2" applyFont="1" applyFill="1" applyBorder="1"/>
    <xf numFmtId="9" fontId="0" fillId="3" borderId="23" xfId="2" applyFont="1" applyFill="1" applyBorder="1"/>
    <xf numFmtId="166" fontId="0" fillId="0" borderId="25" xfId="0" applyNumberFormat="1" applyBorder="1"/>
    <xf numFmtId="166" fontId="0" fillId="3" borderId="30" xfId="0" applyNumberFormat="1" applyFont="1" applyFill="1" applyBorder="1"/>
    <xf numFmtId="166" fontId="3" fillId="3" borderId="30" xfId="0" applyNumberFormat="1" applyFont="1" applyFill="1" applyBorder="1"/>
    <xf numFmtId="0" fontId="3" fillId="6" borderId="21" xfId="0" applyFont="1" applyFill="1" applyBorder="1"/>
    <xf numFmtId="166" fontId="3" fillId="6" borderId="30" xfId="0" applyNumberFormat="1" applyFont="1" applyFill="1" applyBorder="1"/>
    <xf numFmtId="166" fontId="0" fillId="6" borderId="22" xfId="0" applyNumberFormat="1" applyFont="1" applyFill="1" applyBorder="1"/>
    <xf numFmtId="0" fontId="3" fillId="6" borderId="22" xfId="0" applyFont="1" applyFill="1" applyBorder="1"/>
    <xf numFmtId="0" fontId="3" fillId="6" borderId="23" xfId="0" applyFont="1" applyFill="1" applyBorder="1"/>
    <xf numFmtId="0" fontId="0" fillId="0" borderId="0" xfId="0" applyBorder="1"/>
    <xf numFmtId="0" fontId="2" fillId="7" borderId="9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7" borderId="31" xfId="0" applyFont="1" applyFill="1" applyBorder="1"/>
    <xf numFmtId="0" fontId="2" fillId="7" borderId="18" xfId="0" applyFont="1" applyFill="1" applyBorder="1"/>
    <xf numFmtId="0" fontId="2" fillId="7" borderId="19" xfId="0" applyFont="1" applyFill="1" applyBorder="1"/>
    <xf numFmtId="0" fontId="2" fillId="7" borderId="20" xfId="0" applyFont="1" applyFill="1" applyBorder="1"/>
    <xf numFmtId="0" fontId="2" fillId="7" borderId="0" xfId="0" applyFont="1" applyFill="1" applyBorder="1"/>
    <xf numFmtId="0" fontId="3" fillId="3" borderId="13" xfId="0" applyFont="1" applyFill="1" applyBorder="1"/>
    <xf numFmtId="166" fontId="0" fillId="5" borderId="15" xfId="0" applyNumberFormat="1" applyFill="1" applyBorder="1"/>
    <xf numFmtId="166" fontId="0" fillId="5" borderId="31" xfId="0" applyNumberFormat="1" applyFill="1" applyBorder="1"/>
    <xf numFmtId="0" fontId="3" fillId="3" borderId="31" xfId="0" applyFont="1" applyFill="1" applyBorder="1"/>
    <xf numFmtId="166" fontId="0" fillId="3" borderId="34" xfId="1" applyNumberFormat="1" applyFont="1" applyFill="1" applyBorder="1"/>
    <xf numFmtId="166" fontId="0" fillId="5" borderId="25" xfId="0" applyNumberFormat="1" applyFill="1" applyBorder="1"/>
    <xf numFmtId="166" fontId="0" fillId="5" borderId="1" xfId="0" applyNumberFormat="1" applyFill="1" applyBorder="1"/>
    <xf numFmtId="0" fontId="3" fillId="3" borderId="1" xfId="0" applyFont="1" applyFill="1" applyBorder="1"/>
    <xf numFmtId="166" fontId="0" fillId="5" borderId="18" xfId="0" applyNumberFormat="1" applyFill="1" applyBorder="1"/>
    <xf numFmtId="0" fontId="3" fillId="3" borderId="32" xfId="0" applyFont="1" applyFill="1" applyBorder="1"/>
    <xf numFmtId="166" fontId="0" fillId="6" borderId="30" xfId="0" applyNumberFormat="1" applyFont="1" applyFill="1" applyBorder="1"/>
    <xf numFmtId="166" fontId="0" fillId="5" borderId="14" xfId="0" applyNumberFormat="1" applyFill="1" applyBorder="1"/>
    <xf numFmtId="0" fontId="0" fillId="0" borderId="12" xfId="0" applyBorder="1"/>
    <xf numFmtId="0" fontId="3" fillId="3" borderId="30" xfId="0" applyFont="1" applyFill="1" applyBorder="1"/>
    <xf numFmtId="0" fontId="3" fillId="3" borderId="5" xfId="0" applyFont="1" applyFill="1" applyBorder="1"/>
    <xf numFmtId="166" fontId="0" fillId="3" borderId="4" xfId="0" applyNumberFormat="1" applyFont="1" applyFill="1" applyBorder="1"/>
    <xf numFmtId="166" fontId="0" fillId="3" borderId="5" xfId="0" applyNumberFormat="1" applyFont="1" applyFill="1" applyBorder="1"/>
    <xf numFmtId="166" fontId="0" fillId="3" borderId="14" xfId="0" applyNumberFormat="1" applyFont="1" applyFill="1" applyBorder="1"/>
    <xf numFmtId="166" fontId="3" fillId="3" borderId="22" xfId="1" applyNumberFormat="1" applyFont="1" applyFill="1" applyBorder="1"/>
    <xf numFmtId="0" fontId="3" fillId="3" borderId="7" xfId="0" applyFont="1" applyFill="1" applyBorder="1"/>
    <xf numFmtId="166" fontId="0" fillId="5" borderId="13" xfId="0" applyNumberFormat="1" applyFill="1" applyBorder="1"/>
    <xf numFmtId="166" fontId="0" fillId="6" borderId="23" xfId="0" applyNumberFormat="1" applyFont="1" applyFill="1" applyBorder="1"/>
    <xf numFmtId="166" fontId="0" fillId="0" borderId="15" xfId="1" applyNumberFormat="1" applyFont="1" applyFill="1" applyBorder="1"/>
    <xf numFmtId="166" fontId="0" fillId="0" borderId="0" xfId="0" applyNumberFormat="1" applyFill="1" applyBorder="1"/>
    <xf numFmtId="166" fontId="0" fillId="0" borderId="8" xfId="0" applyNumberFormat="1" applyFill="1" applyBorder="1"/>
    <xf numFmtId="0" fontId="0" fillId="5" borderId="0" xfId="0" applyFill="1"/>
    <xf numFmtId="166" fontId="0" fillId="5" borderId="0" xfId="1" applyNumberFormat="1" applyFont="1" applyFill="1"/>
    <xf numFmtId="0" fontId="0" fillId="5" borderId="2" xfId="0" applyFill="1" applyBorder="1"/>
    <xf numFmtId="0" fontId="0" fillId="5" borderId="19" xfId="0" applyFill="1" applyBorder="1"/>
    <xf numFmtId="166" fontId="0" fillId="5" borderId="19" xfId="1" applyNumberFormat="1" applyFont="1" applyFill="1" applyBorder="1"/>
    <xf numFmtId="0" fontId="0" fillId="5" borderId="18" xfId="0" applyFill="1" applyBorder="1"/>
    <xf numFmtId="0" fontId="0" fillId="5" borderId="22" xfId="0" applyFill="1" applyBorder="1"/>
    <xf numFmtId="0" fontId="0" fillId="5" borderId="28" xfId="0" applyFill="1" applyBorder="1"/>
    <xf numFmtId="166" fontId="0" fillId="5" borderId="30" xfId="0" applyNumberFormat="1" applyFill="1" applyBorder="1"/>
    <xf numFmtId="166" fontId="0" fillId="5" borderId="22" xfId="0" applyNumberFormat="1" applyFill="1" applyBorder="1"/>
    <xf numFmtId="0" fontId="3" fillId="5" borderId="0" xfId="0" applyFont="1" applyFill="1" applyBorder="1"/>
    <xf numFmtId="166" fontId="3" fillId="5" borderId="0" xfId="1" applyNumberFormat="1" applyFont="1" applyFill="1" applyBorder="1"/>
    <xf numFmtId="166" fontId="0" fillId="5" borderId="0" xfId="0" applyNumberFormat="1" applyFont="1" applyFill="1" applyBorder="1"/>
    <xf numFmtId="0" fontId="0" fillId="5" borderId="16" xfId="0" applyFill="1" applyBorder="1"/>
    <xf numFmtId="0" fontId="2" fillId="5" borderId="0" xfId="0" applyFont="1" applyFill="1"/>
    <xf numFmtId="0" fontId="8" fillId="5" borderId="0" xfId="0" applyFont="1" applyFill="1"/>
    <xf numFmtId="0" fontId="2" fillId="5" borderId="0" xfId="0" applyFont="1" applyFill="1" applyBorder="1"/>
    <xf numFmtId="166" fontId="0" fillId="5" borderId="33" xfId="0" applyNumberFormat="1" applyFill="1" applyBorder="1"/>
    <xf numFmtId="0" fontId="3" fillId="5" borderId="7" xfId="0" applyFont="1" applyFill="1" applyBorder="1"/>
    <xf numFmtId="166" fontId="0" fillId="5" borderId="7" xfId="0" applyNumberFormat="1" applyFill="1" applyBorder="1"/>
    <xf numFmtId="0" fontId="0" fillId="5" borderId="7" xfId="0" applyFill="1" applyBorder="1"/>
    <xf numFmtId="0" fontId="0" fillId="5" borderId="7" xfId="0" applyFont="1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8" borderId="1" xfId="0" applyFill="1" applyBorder="1"/>
    <xf numFmtId="0" fontId="0" fillId="8" borderId="2" xfId="0" applyFill="1" applyBorder="1"/>
    <xf numFmtId="0" fontId="2" fillId="8" borderId="31" xfId="0" applyFont="1" applyFill="1" applyBorder="1"/>
    <xf numFmtId="0" fontId="2" fillId="8" borderId="16" xfId="0" applyFont="1" applyFill="1" applyBorder="1" applyAlignment="1">
      <alignment horizontal="center" vertical="top" wrapText="1"/>
    </xf>
    <xf numFmtId="0" fontId="2" fillId="8" borderId="26" xfId="0" applyFont="1" applyFill="1" applyBorder="1" applyAlignment="1">
      <alignment horizontal="center" vertical="top" wrapText="1"/>
    </xf>
    <xf numFmtId="0" fontId="2" fillId="8" borderId="29" xfId="0" applyFont="1" applyFill="1" applyBorder="1" applyAlignment="1">
      <alignment horizontal="center" vertical="top" wrapText="1"/>
    </xf>
    <xf numFmtId="0" fontId="2" fillId="8" borderId="29" xfId="0" applyFont="1" applyFill="1" applyBorder="1" applyAlignment="1">
      <alignment vertical="top"/>
    </xf>
    <xf numFmtId="0" fontId="0" fillId="0" borderId="0" xfId="0" applyBorder="1"/>
    <xf numFmtId="166" fontId="0" fillId="5" borderId="5" xfId="0" applyNumberFormat="1" applyFill="1" applyBorder="1"/>
    <xf numFmtId="9" fontId="0" fillId="5" borderId="14" xfId="2" applyNumberFormat="1" applyFont="1" applyFill="1" applyBorder="1"/>
    <xf numFmtId="166" fontId="7" fillId="5" borderId="14" xfId="0" applyNumberFormat="1" applyFont="1" applyFill="1" applyBorder="1"/>
    <xf numFmtId="9" fontId="0" fillId="5" borderId="0" xfId="2" applyNumberFormat="1" applyFont="1" applyFill="1" applyBorder="1"/>
    <xf numFmtId="166" fontId="7" fillId="5" borderId="0" xfId="0" applyNumberFormat="1" applyFont="1" applyFill="1" applyBorder="1"/>
    <xf numFmtId="166" fontId="7" fillId="5" borderId="12" xfId="0" applyNumberFormat="1" applyFont="1" applyFill="1" applyBorder="1"/>
    <xf numFmtId="0" fontId="0" fillId="0" borderId="14" xfId="0" applyBorder="1"/>
    <xf numFmtId="166" fontId="0" fillId="5" borderId="14" xfId="1" applyNumberFormat="1" applyFont="1" applyFill="1" applyBorder="1"/>
    <xf numFmtId="166" fontId="0" fillId="5" borderId="6" xfId="0" applyNumberFormat="1" applyFill="1" applyBorder="1"/>
    <xf numFmtId="0" fontId="3" fillId="3" borderId="35" xfId="0" applyFont="1" applyFill="1" applyBorder="1"/>
    <xf numFmtId="166" fontId="3" fillId="3" borderId="37" xfId="1" applyNumberFormat="1" applyFont="1" applyFill="1" applyBorder="1"/>
    <xf numFmtId="0" fontId="3" fillId="3" borderId="37" xfId="0" applyFont="1" applyFill="1" applyBorder="1"/>
    <xf numFmtId="0" fontId="6" fillId="3" borderId="37" xfId="0" applyFont="1" applyFill="1" applyBorder="1"/>
    <xf numFmtId="0" fontId="3" fillId="3" borderId="36" xfId="0" applyFont="1" applyFill="1" applyBorder="1"/>
    <xf numFmtId="9" fontId="0" fillId="5" borderId="11" xfId="2" applyFont="1" applyFill="1" applyBorder="1"/>
    <xf numFmtId="9" fontId="0" fillId="3" borderId="30" xfId="2" applyFont="1" applyFill="1" applyBorder="1"/>
    <xf numFmtId="9" fontId="0" fillId="5" borderId="15" xfId="2" applyFont="1" applyFill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8" borderId="1" xfId="0" applyFont="1" applyFill="1" applyBorder="1" applyAlignment="1">
      <alignment horizontal="center" vertical="top"/>
    </xf>
    <xf numFmtId="0" fontId="2" fillId="8" borderId="2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</cellXfs>
  <cellStyles count="9">
    <cellStyle name="Comma" xfId="1" builtinId="3"/>
    <cellStyle name="Comma 2" xfId="5" xr:uid="{00000000-0005-0000-0000-000000000000}"/>
    <cellStyle name="Comma 3" xfId="6" xr:uid="{00000000-0005-0000-0000-000001000000}"/>
    <cellStyle name="Comma 4" xfId="8" xr:uid="{00000000-0005-0000-0000-000002000000}"/>
    <cellStyle name="Normal" xfId="0" builtinId="0"/>
    <cellStyle name="Normal 2" xfId="3" xr:uid="{00000000-0005-0000-0000-000005000000}"/>
    <cellStyle name="Normal 3" xfId="7" xr:uid="{00000000-0005-0000-0000-000006000000}"/>
    <cellStyle name="Percent" xfId="2" builtinId="5"/>
    <cellStyle name="Percent 2" xfId="4" xr:uid="{00000000-0005-0000-0000-000007000000}"/>
  </cellStyles>
  <dxfs count="0"/>
  <tableStyles count="0" defaultTableStyle="TableStyleMedium2" defaultPivotStyle="PivotStyleLight16"/>
  <colors>
    <mruColors>
      <color rgb="FF9B0D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76"/>
  <sheetViews>
    <sheetView showGridLines="0" tabSelected="1" topLeftCell="A15" zoomScale="90" zoomScaleNormal="90" workbookViewId="0">
      <pane ySplit="6" topLeftCell="A21" activePane="bottomLeft" state="frozen"/>
      <selection activeCell="A15" sqref="A15"/>
      <selection pane="bottomLeft" activeCell="U71" sqref="U71"/>
    </sheetView>
  </sheetViews>
  <sheetFormatPr defaultRowHeight="14.5" x14ac:dyDescent="0.35"/>
  <cols>
    <col min="1" max="2" width="2.7265625" customWidth="1"/>
    <col min="3" max="3" width="40.81640625" customWidth="1"/>
    <col min="4" max="4" width="18" customWidth="1"/>
    <col min="5" max="5" width="13.7265625" customWidth="1"/>
    <col min="6" max="6" width="13.54296875" customWidth="1"/>
    <col min="7" max="7" width="13.81640625" customWidth="1"/>
    <col min="8" max="8" width="14.54296875" customWidth="1"/>
    <col min="9" max="9" width="14.26953125" customWidth="1"/>
    <col min="10" max="12" width="14.453125" customWidth="1"/>
    <col min="13" max="13" width="14.81640625" customWidth="1"/>
    <col min="14" max="14" width="13.453125" customWidth="1"/>
    <col min="15" max="16" width="3.1796875" style="2" customWidth="1"/>
    <col min="17" max="17" width="12.453125" customWidth="1"/>
    <col min="18" max="18" width="10.54296875" bestFit="1" customWidth="1"/>
  </cols>
  <sheetData>
    <row r="3" spans="2:16" x14ac:dyDescent="0.35">
      <c r="C3" s="146" t="s">
        <v>80</v>
      </c>
    </row>
    <row r="4" spans="2:16" x14ac:dyDescent="0.35">
      <c r="C4" s="11" t="s">
        <v>83</v>
      </c>
    </row>
    <row r="6" spans="2:16" ht="21" x14ac:dyDescent="0.5">
      <c r="B6" s="159"/>
      <c r="C6" s="174" t="s">
        <v>77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6" x14ac:dyDescent="0.35">
      <c r="B7" s="159"/>
      <c r="C7" s="126" t="s">
        <v>15</v>
      </c>
      <c r="D7" s="127"/>
      <c r="E7" s="127"/>
      <c r="F7" s="127"/>
      <c r="G7" s="127"/>
      <c r="H7" s="127"/>
      <c r="I7" s="127"/>
      <c r="J7" s="127"/>
      <c r="K7" s="127"/>
      <c r="L7" s="127"/>
      <c r="M7" s="128"/>
      <c r="N7" s="133"/>
      <c r="O7" s="175"/>
      <c r="P7" s="41"/>
    </row>
    <row r="8" spans="2:16" x14ac:dyDescent="0.35">
      <c r="B8" s="159"/>
      <c r="C8" s="11" t="s">
        <v>42</v>
      </c>
      <c r="D8" s="215" t="s">
        <v>43</v>
      </c>
      <c r="E8" s="216"/>
      <c r="F8" s="216"/>
      <c r="G8" s="216"/>
      <c r="H8" s="216"/>
      <c r="I8" s="216"/>
      <c r="J8" s="216"/>
      <c r="K8" s="216"/>
      <c r="L8" s="216"/>
      <c r="M8" s="217"/>
      <c r="N8" s="125"/>
      <c r="O8" s="22"/>
      <c r="P8" s="42"/>
    </row>
    <row r="9" spans="2:16" x14ac:dyDescent="0.35">
      <c r="B9" s="159"/>
      <c r="C9" s="11" t="s">
        <v>16</v>
      </c>
      <c r="D9" s="209" t="s">
        <v>41</v>
      </c>
      <c r="E9" s="210"/>
      <c r="F9" s="210"/>
      <c r="G9" s="210"/>
      <c r="H9" s="210"/>
      <c r="I9" s="210"/>
      <c r="J9" s="210"/>
      <c r="K9" s="210"/>
      <c r="L9" s="210"/>
      <c r="M9" s="211"/>
      <c r="N9" s="125"/>
      <c r="O9" s="22"/>
      <c r="P9" s="42"/>
    </row>
    <row r="10" spans="2:16" x14ac:dyDescent="0.35">
      <c r="B10" s="159"/>
      <c r="C10" s="11" t="s">
        <v>17</v>
      </c>
      <c r="D10" s="209" t="s">
        <v>40</v>
      </c>
      <c r="E10" s="210"/>
      <c r="F10" s="210"/>
      <c r="G10" s="210"/>
      <c r="H10" s="210"/>
      <c r="I10" s="210"/>
      <c r="J10" s="210"/>
      <c r="K10" s="210"/>
      <c r="L10" s="210"/>
      <c r="M10" s="211"/>
      <c r="N10" s="125"/>
      <c r="O10" s="22"/>
      <c r="P10" s="42"/>
    </row>
    <row r="11" spans="2:16" x14ac:dyDescent="0.35">
      <c r="B11" s="159"/>
      <c r="C11" s="11" t="s">
        <v>60</v>
      </c>
      <c r="D11" s="209" t="s">
        <v>61</v>
      </c>
      <c r="E11" s="210"/>
      <c r="F11" s="210"/>
      <c r="G11" s="210"/>
      <c r="H11" s="210"/>
      <c r="I11" s="210"/>
      <c r="J11" s="210"/>
      <c r="K11" s="210"/>
      <c r="L11" s="210"/>
      <c r="M11" s="211"/>
      <c r="N11" s="125"/>
      <c r="O11" s="22"/>
      <c r="P11" s="42"/>
    </row>
    <row r="12" spans="2:16" x14ac:dyDescent="0.35">
      <c r="B12" s="159"/>
      <c r="C12" s="11" t="s">
        <v>18</v>
      </c>
      <c r="D12" s="209" t="s">
        <v>79</v>
      </c>
      <c r="E12" s="210"/>
      <c r="F12" s="210"/>
      <c r="G12" s="210"/>
      <c r="H12" s="210"/>
      <c r="I12" s="210"/>
      <c r="J12" s="210"/>
      <c r="K12" s="210"/>
      <c r="L12" s="210"/>
      <c r="M12" s="211"/>
      <c r="N12" s="125"/>
      <c r="O12" s="22"/>
      <c r="P12" s="42"/>
    </row>
    <row r="13" spans="2:16" x14ac:dyDescent="0.35">
      <c r="B13" s="159"/>
      <c r="C13" s="11" t="s">
        <v>58</v>
      </c>
      <c r="D13" s="209" t="s">
        <v>74</v>
      </c>
      <c r="E13" s="210"/>
      <c r="F13" s="210"/>
      <c r="G13" s="210"/>
      <c r="H13" s="210"/>
      <c r="I13" s="210"/>
      <c r="J13" s="210"/>
      <c r="K13" s="210"/>
      <c r="L13" s="210"/>
      <c r="M13" s="211"/>
      <c r="N13" s="125"/>
      <c r="O13" s="22"/>
      <c r="P13" s="42"/>
    </row>
    <row r="14" spans="2:16" x14ac:dyDescent="0.35">
      <c r="B14" s="159"/>
      <c r="C14" s="11" t="s">
        <v>19</v>
      </c>
      <c r="D14" s="209" t="s">
        <v>55</v>
      </c>
      <c r="E14" s="210"/>
      <c r="F14" s="210"/>
      <c r="G14" s="210"/>
      <c r="H14" s="210"/>
      <c r="I14" s="210"/>
      <c r="J14" s="210"/>
      <c r="K14" s="210"/>
      <c r="L14" s="210"/>
      <c r="M14" s="211"/>
      <c r="N14" s="125"/>
      <c r="O14" s="22"/>
      <c r="P14" s="42"/>
    </row>
    <row r="15" spans="2:16" x14ac:dyDescent="0.35">
      <c r="B15" s="159"/>
      <c r="C15" s="11" t="s">
        <v>20</v>
      </c>
      <c r="D15" s="218" t="s">
        <v>44</v>
      </c>
      <c r="E15" s="219"/>
      <c r="F15" s="219"/>
      <c r="G15" s="219"/>
      <c r="H15" s="219"/>
      <c r="I15" s="219"/>
      <c r="J15" s="219"/>
      <c r="K15" s="219"/>
      <c r="L15" s="219"/>
      <c r="M15" s="220"/>
      <c r="N15" s="125"/>
      <c r="O15" s="22"/>
      <c r="P15" s="42"/>
    </row>
    <row r="16" spans="2:16" x14ac:dyDescent="0.35">
      <c r="B16" s="159"/>
      <c r="C16" s="11" t="s">
        <v>82</v>
      </c>
      <c r="D16" s="212">
        <v>7.45</v>
      </c>
      <c r="E16" s="213"/>
      <c r="F16" s="213"/>
      <c r="G16" s="213"/>
      <c r="H16" s="213"/>
      <c r="I16" s="213"/>
      <c r="J16" s="213"/>
      <c r="K16" s="213"/>
      <c r="L16" s="213"/>
      <c r="M16" s="214"/>
      <c r="N16" s="125"/>
      <c r="O16" s="22"/>
      <c r="P16" s="42"/>
    </row>
    <row r="17" spans="2:18" ht="6" customHeight="1" x14ac:dyDescent="0.35"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2:18" ht="15" thickBot="1" x14ac:dyDescent="0.4">
      <c r="B18" s="159"/>
      <c r="C18" s="130"/>
      <c r="D18" s="131" t="s">
        <v>0</v>
      </c>
      <c r="E18" s="131" t="s">
        <v>12</v>
      </c>
      <c r="F18" s="131" t="s">
        <v>13</v>
      </c>
      <c r="G18" s="131" t="s">
        <v>1</v>
      </c>
      <c r="H18" s="131" t="s">
        <v>87</v>
      </c>
      <c r="I18" s="131" t="s">
        <v>89</v>
      </c>
      <c r="J18" s="131" t="s">
        <v>90</v>
      </c>
      <c r="K18" s="131" t="s">
        <v>88</v>
      </c>
      <c r="L18" s="131" t="s">
        <v>91</v>
      </c>
      <c r="M18" s="132" t="s">
        <v>92</v>
      </c>
      <c r="N18" s="129" t="s">
        <v>39</v>
      </c>
      <c r="O18" s="173"/>
      <c r="P18" s="4"/>
      <c r="Q18" s="59" t="s">
        <v>52</v>
      </c>
    </row>
    <row r="19" spans="2:18" ht="6" customHeight="1" thickTop="1" thickBot="1" x14ac:dyDescent="0.4"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72"/>
      <c r="O19" s="173"/>
      <c r="P19" s="4"/>
      <c r="Q19" s="59"/>
    </row>
    <row r="20" spans="2:18" ht="15.5" thickTop="1" thickBot="1" x14ac:dyDescent="0.4">
      <c r="B20" s="159"/>
      <c r="C20" s="7" t="s">
        <v>97</v>
      </c>
      <c r="D20" s="39"/>
      <c r="E20" s="39"/>
      <c r="F20" s="40"/>
      <c r="G20" s="50">
        <f t="shared" ref="G20:M20" si="0">G33+G46+G59</f>
        <v>9951480</v>
      </c>
      <c r="H20" s="51">
        <f t="shared" si="0"/>
        <v>2616080</v>
      </c>
      <c r="I20" s="51">
        <f t="shared" si="0"/>
        <v>2256080</v>
      </c>
      <c r="J20" s="51">
        <f t="shared" si="0"/>
        <v>1698580</v>
      </c>
      <c r="K20" s="51">
        <f t="shared" si="0"/>
        <v>1383580</v>
      </c>
      <c r="L20" s="51">
        <f t="shared" si="0"/>
        <v>1043580</v>
      </c>
      <c r="M20" s="51">
        <f t="shared" si="0"/>
        <v>953580</v>
      </c>
      <c r="N20" s="138">
        <f>G20*D16</f>
        <v>74138526</v>
      </c>
      <c r="O20" s="176"/>
      <c r="P20" s="43"/>
      <c r="Q20" s="6">
        <f>G20-(H20+I20+J20+K20+L20+M20)</f>
        <v>0</v>
      </c>
    </row>
    <row r="21" spans="2:18" ht="6" customHeight="1" thickTop="1" x14ac:dyDescent="0.35">
      <c r="B21" s="159"/>
      <c r="C21" s="159"/>
      <c r="D21" s="159"/>
      <c r="E21" s="159"/>
      <c r="F21" s="159"/>
      <c r="G21" s="160"/>
      <c r="H21" s="159"/>
      <c r="I21" s="159"/>
      <c r="J21" s="159"/>
      <c r="K21" s="159"/>
      <c r="L21" s="159"/>
      <c r="M21" s="159"/>
      <c r="N21" s="159"/>
      <c r="O21" s="159"/>
    </row>
    <row r="22" spans="2:18" ht="15" thickBot="1" x14ac:dyDescent="0.4">
      <c r="B22" s="159"/>
      <c r="C22" s="15" t="s">
        <v>2</v>
      </c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34"/>
      <c r="O22" s="169"/>
      <c r="P22" s="44"/>
    </row>
    <row r="23" spans="2:18" ht="15" thickTop="1" x14ac:dyDescent="0.35">
      <c r="B23" s="159"/>
      <c r="C23" s="29" t="s">
        <v>3</v>
      </c>
      <c r="D23" s="1" t="s">
        <v>46</v>
      </c>
      <c r="E23" s="18">
        <v>30000</v>
      </c>
      <c r="F23" s="33">
        <v>36</v>
      </c>
      <c r="G23" s="35">
        <f>E23*F23</f>
        <v>1080000</v>
      </c>
      <c r="H23" s="19">
        <f>G23/F23*6</f>
        <v>180000</v>
      </c>
      <c r="I23" s="19">
        <f>G23/F23*6</f>
        <v>180000</v>
      </c>
      <c r="J23" s="19">
        <f>G23/F23*6</f>
        <v>180000</v>
      </c>
      <c r="K23" s="19">
        <f>G23/F23*6</f>
        <v>180000</v>
      </c>
      <c r="L23" s="19">
        <f>G23/F23*6</f>
        <v>180000</v>
      </c>
      <c r="M23" s="20">
        <f>G23/F23*6</f>
        <v>180000</v>
      </c>
      <c r="N23" s="139"/>
      <c r="O23" s="55"/>
      <c r="P23" s="43"/>
      <c r="Q23" s="6">
        <f>G23-(H23+I23+J23+K23+L23+M23)</f>
        <v>0</v>
      </c>
      <c r="R23" s="6"/>
    </row>
    <row r="24" spans="2:18" x14ac:dyDescent="0.35">
      <c r="B24" s="159"/>
      <c r="C24" s="30" t="s">
        <v>4</v>
      </c>
      <c r="D24" s="1" t="s">
        <v>45</v>
      </c>
      <c r="E24" s="18">
        <v>50000</v>
      </c>
      <c r="F24" s="8">
        <v>5</v>
      </c>
      <c r="G24" s="36">
        <f t="shared" ref="G24:G26" si="1">E24*F24</f>
        <v>250000</v>
      </c>
      <c r="H24" s="19"/>
      <c r="I24" s="19">
        <f>G24/5</f>
        <v>50000</v>
      </c>
      <c r="J24" s="19">
        <f>G24/F24</f>
        <v>50000</v>
      </c>
      <c r="K24" s="19">
        <f>G24/F24</f>
        <v>50000</v>
      </c>
      <c r="L24" s="19">
        <f>G24/5</f>
        <v>50000</v>
      </c>
      <c r="M24" s="20">
        <f>G24/5</f>
        <v>50000</v>
      </c>
      <c r="N24" s="135"/>
      <c r="O24" s="55"/>
      <c r="P24" s="43"/>
      <c r="Q24" s="6">
        <f t="shared" ref="Q24:Q33" si="2">G24-(H24+I24+J24+K24+L24+M24)</f>
        <v>0</v>
      </c>
    </row>
    <row r="25" spans="2:18" x14ac:dyDescent="0.35">
      <c r="B25" s="159"/>
      <c r="C25" s="30" t="s">
        <v>21</v>
      </c>
      <c r="D25" s="1" t="s">
        <v>38</v>
      </c>
      <c r="E25" s="18">
        <v>35000</v>
      </c>
      <c r="F25" s="8">
        <v>7</v>
      </c>
      <c r="G25" s="36">
        <f t="shared" si="1"/>
        <v>245000</v>
      </c>
      <c r="H25" s="19">
        <f>G25/F25</f>
        <v>35000</v>
      </c>
      <c r="I25" s="19">
        <f>G25/F25*2</f>
        <v>70000</v>
      </c>
      <c r="J25" s="19">
        <f>G25/F25</f>
        <v>35000</v>
      </c>
      <c r="K25" s="19">
        <f>G25/F25</f>
        <v>35000</v>
      </c>
      <c r="L25" s="19">
        <f>G25/F25</f>
        <v>35000</v>
      </c>
      <c r="M25" s="20">
        <f>G25/7</f>
        <v>35000</v>
      </c>
      <c r="N25" s="135"/>
      <c r="O25" s="55"/>
      <c r="P25" s="43"/>
      <c r="Q25" s="6">
        <f t="shared" si="2"/>
        <v>0</v>
      </c>
    </row>
    <row r="26" spans="2:18" x14ac:dyDescent="0.35">
      <c r="B26" s="159"/>
      <c r="C26" s="30" t="s">
        <v>22</v>
      </c>
      <c r="D26" s="1" t="s">
        <v>36</v>
      </c>
      <c r="E26" s="18">
        <v>75000</v>
      </c>
      <c r="F26" s="8">
        <v>2</v>
      </c>
      <c r="G26" s="36">
        <f t="shared" si="1"/>
        <v>150000</v>
      </c>
      <c r="H26" s="19">
        <f>G26</f>
        <v>150000</v>
      </c>
      <c r="I26" s="19">
        <f>G26*0</f>
        <v>0</v>
      </c>
      <c r="J26" s="19">
        <f>G26*0</f>
        <v>0</v>
      </c>
      <c r="K26" s="19">
        <f>G26*0</f>
        <v>0</v>
      </c>
      <c r="L26" s="19"/>
      <c r="M26" s="20">
        <f>G26*0</f>
        <v>0</v>
      </c>
      <c r="N26" s="135"/>
      <c r="O26" s="55"/>
      <c r="P26" s="43"/>
      <c r="Q26" s="6">
        <f t="shared" si="2"/>
        <v>0</v>
      </c>
    </row>
    <row r="27" spans="2:18" x14ac:dyDescent="0.35">
      <c r="B27" s="159"/>
      <c r="C27" s="30" t="s">
        <v>5</v>
      </c>
      <c r="D27" s="1" t="s">
        <v>6</v>
      </c>
      <c r="E27" s="18">
        <v>25000</v>
      </c>
      <c r="F27" s="8">
        <v>36</v>
      </c>
      <c r="G27" s="36">
        <f>E27*F27</f>
        <v>900000</v>
      </c>
      <c r="H27" s="19">
        <f>G27/6</f>
        <v>150000</v>
      </c>
      <c r="I27" s="19">
        <f>G27/6</f>
        <v>150000</v>
      </c>
      <c r="J27" s="19">
        <f>G27/6</f>
        <v>150000</v>
      </c>
      <c r="K27" s="19">
        <f>G27/6</f>
        <v>150000</v>
      </c>
      <c r="L27" s="19">
        <f>G27/6</f>
        <v>150000</v>
      </c>
      <c r="M27" s="20">
        <f>G27/6</f>
        <v>150000</v>
      </c>
      <c r="N27" s="135"/>
      <c r="O27" s="55"/>
      <c r="P27" s="43"/>
      <c r="Q27" s="6">
        <f t="shared" si="2"/>
        <v>0</v>
      </c>
    </row>
    <row r="28" spans="2:18" x14ac:dyDescent="0.35">
      <c r="B28" s="159"/>
      <c r="C28" s="30" t="s">
        <v>7</v>
      </c>
      <c r="D28" s="1" t="s">
        <v>6</v>
      </c>
      <c r="E28" s="18">
        <v>20000</v>
      </c>
      <c r="F28" s="8">
        <f>12*1.5</f>
        <v>18</v>
      </c>
      <c r="G28" s="36">
        <f>E28*F28</f>
        <v>360000</v>
      </c>
      <c r="H28" s="19">
        <f>G28/F28*0</f>
        <v>0</v>
      </c>
      <c r="I28" s="19">
        <f>G28/F28*6</f>
        <v>120000</v>
      </c>
      <c r="J28" s="19">
        <f>G28/F28*6</f>
        <v>120000</v>
      </c>
      <c r="K28" s="19">
        <f>G28/F28*6</f>
        <v>120000</v>
      </c>
      <c r="L28" s="19"/>
      <c r="M28" s="20"/>
      <c r="N28" s="135"/>
      <c r="O28" s="55"/>
      <c r="P28" s="43"/>
      <c r="Q28" s="6">
        <f t="shared" si="2"/>
        <v>0</v>
      </c>
    </row>
    <row r="29" spans="2:18" x14ac:dyDescent="0.35">
      <c r="B29" s="159"/>
      <c r="C29" s="30" t="s">
        <v>8</v>
      </c>
      <c r="D29" s="1" t="s">
        <v>6</v>
      </c>
      <c r="E29" s="18">
        <v>30000</v>
      </c>
      <c r="F29" s="8">
        <f>12*1</f>
        <v>12</v>
      </c>
      <c r="G29" s="36">
        <f t="shared" ref="G29:G30" si="3">E29*F29</f>
        <v>360000</v>
      </c>
      <c r="H29" s="19">
        <f>G29/12*6</f>
        <v>180000</v>
      </c>
      <c r="I29" s="19">
        <f>G29/F29*6</f>
        <v>180000</v>
      </c>
      <c r="J29" s="19">
        <f>G29/F29*0</f>
        <v>0</v>
      </c>
      <c r="K29" s="19">
        <f>G29/F29*0</f>
        <v>0</v>
      </c>
      <c r="L29" s="19"/>
      <c r="M29" s="20">
        <f>G29/F29*0</f>
        <v>0</v>
      </c>
      <c r="N29" s="135"/>
      <c r="O29" s="55"/>
      <c r="P29" s="43"/>
      <c r="Q29" s="6">
        <f t="shared" si="2"/>
        <v>0</v>
      </c>
    </row>
    <row r="30" spans="2:18" x14ac:dyDescent="0.35">
      <c r="B30" s="159"/>
      <c r="C30" s="30" t="s">
        <v>23</v>
      </c>
      <c r="D30" s="9" t="s">
        <v>37</v>
      </c>
      <c r="E30" s="12">
        <v>0</v>
      </c>
      <c r="F30" s="10">
        <v>0</v>
      </c>
      <c r="G30" s="37">
        <f t="shared" si="3"/>
        <v>0</v>
      </c>
      <c r="H30" s="13">
        <f>G30/5</f>
        <v>0</v>
      </c>
      <c r="I30" s="13">
        <f>G30/5</f>
        <v>0</v>
      </c>
      <c r="J30" s="13">
        <f>G30/5</f>
        <v>0</v>
      </c>
      <c r="K30" s="13">
        <f>G30/5</f>
        <v>0</v>
      </c>
      <c r="L30" s="13"/>
      <c r="M30" s="21">
        <f>G30/5</f>
        <v>0</v>
      </c>
      <c r="N30" s="145"/>
      <c r="O30" s="55"/>
      <c r="P30" s="43"/>
      <c r="Q30" s="6">
        <f t="shared" si="2"/>
        <v>0</v>
      </c>
    </row>
    <row r="31" spans="2:18" x14ac:dyDescent="0.35">
      <c r="B31" s="159"/>
      <c r="C31" s="31" t="s">
        <v>28</v>
      </c>
      <c r="D31" s="53"/>
      <c r="E31" s="14"/>
      <c r="F31" s="34"/>
      <c r="G31" s="63">
        <f>SUM(G23:G30)</f>
        <v>3345000</v>
      </c>
      <c r="H31" s="64">
        <f>SUM(H23:H30)</f>
        <v>695000</v>
      </c>
      <c r="I31" s="64">
        <f t="shared" ref="I31:M31" si="4">SUM(I23:I30)</f>
        <v>750000</v>
      </c>
      <c r="J31" s="64">
        <f t="shared" si="4"/>
        <v>535000</v>
      </c>
      <c r="K31" s="64">
        <f t="shared" si="4"/>
        <v>535000</v>
      </c>
      <c r="L31" s="64">
        <f>SUM(L23:L30)</f>
        <v>415000</v>
      </c>
      <c r="M31" s="65">
        <f t="shared" si="4"/>
        <v>415000</v>
      </c>
      <c r="N31" s="109">
        <f>G31*D16</f>
        <v>24920250</v>
      </c>
      <c r="O31" s="55"/>
      <c r="P31" s="43"/>
      <c r="Q31" s="6">
        <f>G31-(H31+I31+J31+K31+L31+M31)</f>
        <v>0</v>
      </c>
    </row>
    <row r="32" spans="2:18" ht="15" thickBot="1" x14ac:dyDescent="0.4">
      <c r="B32" s="159"/>
      <c r="C32" s="32" t="s">
        <v>27</v>
      </c>
      <c r="D32" s="22"/>
      <c r="E32" s="22"/>
      <c r="F32" s="22"/>
      <c r="G32" s="156">
        <f>G67/3*2</f>
        <v>474320</v>
      </c>
      <c r="H32" s="157">
        <f>G32/6</f>
        <v>79053.333333333328</v>
      </c>
      <c r="I32" s="157">
        <f>G32/6</f>
        <v>79053.333333333328</v>
      </c>
      <c r="J32" s="157">
        <f>G32/6</f>
        <v>79053.333333333328</v>
      </c>
      <c r="K32" s="157">
        <f>G32/6</f>
        <v>79053.333333333328</v>
      </c>
      <c r="L32" s="157">
        <f>G32/6</f>
        <v>79053.333333333328</v>
      </c>
      <c r="M32" s="158">
        <f>G32/6</f>
        <v>79053.333333333328</v>
      </c>
      <c r="N32" s="135">
        <f>G32*D16</f>
        <v>3533684</v>
      </c>
      <c r="O32" s="55"/>
      <c r="P32" s="43"/>
      <c r="Q32" s="6">
        <f t="shared" si="2"/>
        <v>0</v>
      </c>
    </row>
    <row r="33" spans="2:17" ht="15" thickTop="1" x14ac:dyDescent="0.35">
      <c r="B33" s="159"/>
      <c r="C33" s="23" t="s">
        <v>54</v>
      </c>
      <c r="D33" s="24"/>
      <c r="E33" s="24"/>
      <c r="F33" s="28"/>
      <c r="G33" s="47">
        <f>G31+G32</f>
        <v>3819320</v>
      </c>
      <c r="H33" s="25">
        <f>SUM(H31:H32)</f>
        <v>774053.33333333337</v>
      </c>
      <c r="I33" s="25">
        <f t="shared" ref="I33:M33" si="5">SUM(I31:I32)</f>
        <v>829053.33333333337</v>
      </c>
      <c r="J33" s="25">
        <f t="shared" si="5"/>
        <v>614053.33333333337</v>
      </c>
      <c r="K33" s="25">
        <f t="shared" si="5"/>
        <v>614053.33333333337</v>
      </c>
      <c r="L33" s="25">
        <f>SUM(L31:L32)</f>
        <v>494053.33333333331</v>
      </c>
      <c r="M33" s="26">
        <f t="shared" si="5"/>
        <v>494053.33333333331</v>
      </c>
      <c r="N33" s="118">
        <f>G33*D16</f>
        <v>28453934</v>
      </c>
      <c r="O33" s="171"/>
      <c r="P33" s="45"/>
      <c r="Q33" s="6">
        <f t="shared" si="2"/>
        <v>0</v>
      </c>
    </row>
    <row r="34" spans="2:17" ht="6" customHeight="1" x14ac:dyDescent="0.35">
      <c r="B34" s="159"/>
      <c r="C34" s="159"/>
      <c r="D34" s="159"/>
      <c r="E34" s="159"/>
      <c r="F34" s="159"/>
      <c r="G34" s="160"/>
      <c r="H34" s="159"/>
      <c r="I34" s="159"/>
      <c r="J34" s="159"/>
      <c r="K34" s="159"/>
      <c r="L34" s="159"/>
      <c r="M34" s="159"/>
      <c r="N34" s="159"/>
      <c r="O34" s="159"/>
    </row>
    <row r="35" spans="2:17" ht="15" thickBot="1" x14ac:dyDescent="0.4">
      <c r="B35" s="159"/>
      <c r="C35" s="15" t="s">
        <v>9</v>
      </c>
      <c r="D35" s="16"/>
      <c r="E35" s="16"/>
      <c r="F35" s="16"/>
      <c r="G35" s="16"/>
      <c r="H35" s="16"/>
      <c r="I35" s="16"/>
      <c r="J35" s="16"/>
      <c r="K35" s="16"/>
      <c r="L35" s="16"/>
      <c r="M35" s="17"/>
      <c r="N35" s="141"/>
      <c r="O35" s="177"/>
      <c r="P35" s="44"/>
    </row>
    <row r="36" spans="2:17" ht="15" thickTop="1" x14ac:dyDescent="0.35">
      <c r="B36" s="159"/>
      <c r="C36" s="29" t="s">
        <v>3</v>
      </c>
      <c r="D36" s="1" t="s">
        <v>46</v>
      </c>
      <c r="E36" s="18">
        <v>15000</v>
      </c>
      <c r="F36" s="33">
        <v>30</v>
      </c>
      <c r="G36" s="35">
        <f>E36*F36</f>
        <v>450000</v>
      </c>
      <c r="H36" s="19">
        <f>G36/F36*6</f>
        <v>90000</v>
      </c>
      <c r="I36" s="19">
        <f>G36/F36*6</f>
        <v>90000</v>
      </c>
      <c r="J36" s="19">
        <f>G36/F36*6</f>
        <v>90000</v>
      </c>
      <c r="K36" s="19">
        <f>G36/F36*6</f>
        <v>90000</v>
      </c>
      <c r="L36" s="19">
        <f>G36/F36*6</f>
        <v>90000</v>
      </c>
      <c r="M36" s="20"/>
      <c r="N36" s="139"/>
      <c r="O36" s="55"/>
      <c r="P36" s="43"/>
      <c r="Q36" s="6">
        <f>G36-(H36+I36+J36+K36+L36+M36)</f>
        <v>0</v>
      </c>
    </row>
    <row r="37" spans="2:17" x14ac:dyDescent="0.35">
      <c r="B37" s="159"/>
      <c r="C37" s="30" t="s">
        <v>4</v>
      </c>
      <c r="D37" s="1" t="s">
        <v>47</v>
      </c>
      <c r="E37" s="18">
        <v>20000</v>
      </c>
      <c r="F37" s="8">
        <v>10</v>
      </c>
      <c r="G37" s="36">
        <f t="shared" ref="G37:G43" si="6">E37*F37</f>
        <v>200000</v>
      </c>
      <c r="H37" s="19">
        <f>G37/F37*0</f>
        <v>0</v>
      </c>
      <c r="I37" s="19">
        <f>G37/F37*5</f>
        <v>100000</v>
      </c>
      <c r="J37" s="19">
        <f>G37/F37*5</f>
        <v>100000</v>
      </c>
      <c r="K37" s="19">
        <f>G37/F37*0</f>
        <v>0</v>
      </c>
      <c r="L37" s="19"/>
      <c r="M37" s="20">
        <f>G37/F37*0</f>
        <v>0</v>
      </c>
      <c r="N37" s="135"/>
      <c r="O37" s="55"/>
      <c r="P37" s="43"/>
      <c r="Q37" s="6">
        <f t="shared" ref="Q37:Q46" si="7">G37-(H37+I37+J37+K37+L37+M37)</f>
        <v>0</v>
      </c>
    </row>
    <row r="38" spans="2:17" x14ac:dyDescent="0.35">
      <c r="B38" s="159"/>
      <c r="C38" s="30" t="s">
        <v>21</v>
      </c>
      <c r="D38" s="1" t="s">
        <v>46</v>
      </c>
      <c r="E38" s="18">
        <v>25000</v>
      </c>
      <c r="F38" s="8">
        <v>22</v>
      </c>
      <c r="G38" s="36">
        <f t="shared" si="6"/>
        <v>550000</v>
      </c>
      <c r="H38" s="19">
        <f>G38/F38*6</f>
        <v>150000</v>
      </c>
      <c r="I38" s="19">
        <f>G38/F38*6</f>
        <v>150000</v>
      </c>
      <c r="J38" s="19">
        <f>G38/F38*6</f>
        <v>150000</v>
      </c>
      <c r="K38" s="19">
        <f>G38/F38*4</f>
        <v>100000</v>
      </c>
      <c r="L38" s="19"/>
      <c r="M38" s="20">
        <f>G38/F38*0</f>
        <v>0</v>
      </c>
      <c r="N38" s="55"/>
      <c r="O38" s="178"/>
      <c r="P38" s="43"/>
      <c r="Q38" s="6">
        <f t="shared" si="7"/>
        <v>0</v>
      </c>
    </row>
    <row r="39" spans="2:17" x14ac:dyDescent="0.35">
      <c r="B39" s="159"/>
      <c r="C39" s="30" t="s">
        <v>22</v>
      </c>
      <c r="D39" s="1" t="s">
        <v>36</v>
      </c>
      <c r="E39" s="18">
        <v>100000</v>
      </c>
      <c r="F39" s="8">
        <v>5</v>
      </c>
      <c r="G39" s="36">
        <f t="shared" si="6"/>
        <v>500000</v>
      </c>
      <c r="H39" s="19">
        <f>G39/F39*5</f>
        <v>500000</v>
      </c>
      <c r="I39" s="19">
        <f>G39/F39*0</f>
        <v>0</v>
      </c>
      <c r="J39" s="19">
        <f>G39/F39*0</f>
        <v>0</v>
      </c>
      <c r="K39" s="19">
        <f>G39/F39*0</f>
        <v>0</v>
      </c>
      <c r="L39" s="19"/>
      <c r="M39" s="20">
        <f>G39/F39*0</f>
        <v>0</v>
      </c>
      <c r="N39" s="55"/>
      <c r="O39" s="178"/>
      <c r="P39" s="43"/>
      <c r="Q39" s="6">
        <f t="shared" si="7"/>
        <v>0</v>
      </c>
    </row>
    <row r="40" spans="2:17" x14ac:dyDescent="0.35">
      <c r="B40" s="159"/>
      <c r="C40" s="30" t="s">
        <v>5</v>
      </c>
      <c r="D40" s="1" t="s">
        <v>6</v>
      </c>
      <c r="E40" s="18">
        <v>35000</v>
      </c>
      <c r="F40" s="8">
        <v>36</v>
      </c>
      <c r="G40" s="36">
        <f t="shared" si="6"/>
        <v>1260000</v>
      </c>
      <c r="H40" s="19">
        <f>G40/6</f>
        <v>210000</v>
      </c>
      <c r="I40" s="19">
        <f>G40/6</f>
        <v>210000</v>
      </c>
      <c r="J40" s="19">
        <f>G40/6</f>
        <v>210000</v>
      </c>
      <c r="K40" s="19">
        <f>G40/6</f>
        <v>210000</v>
      </c>
      <c r="L40" s="19">
        <f>G40/6</f>
        <v>210000</v>
      </c>
      <c r="M40" s="20">
        <f>G40/6</f>
        <v>210000</v>
      </c>
      <c r="N40" s="135"/>
      <c r="O40" s="55"/>
      <c r="P40" s="43"/>
      <c r="Q40" s="6">
        <f t="shared" si="7"/>
        <v>0</v>
      </c>
    </row>
    <row r="41" spans="2:17" x14ac:dyDescent="0.35">
      <c r="B41" s="159"/>
      <c r="C41" s="30" t="s">
        <v>7</v>
      </c>
      <c r="D41" s="1" t="s">
        <v>6</v>
      </c>
      <c r="E41" s="18">
        <v>35000</v>
      </c>
      <c r="F41" s="8">
        <v>36</v>
      </c>
      <c r="G41" s="36">
        <f t="shared" si="6"/>
        <v>1260000</v>
      </c>
      <c r="H41" s="19">
        <f>G41/F41*6</f>
        <v>210000</v>
      </c>
      <c r="I41" s="19">
        <f>G41/F41*6</f>
        <v>210000</v>
      </c>
      <c r="J41" s="19">
        <f>G41/F41*6</f>
        <v>210000</v>
      </c>
      <c r="K41" s="19">
        <f>G41/F41*6</f>
        <v>210000</v>
      </c>
      <c r="L41" s="19">
        <f>G41/F41*6</f>
        <v>210000</v>
      </c>
      <c r="M41" s="20">
        <f>G41/F41*6</f>
        <v>210000</v>
      </c>
      <c r="N41" s="135"/>
      <c r="O41" s="55"/>
      <c r="P41" s="43"/>
      <c r="Q41" s="6">
        <f t="shared" si="7"/>
        <v>0</v>
      </c>
    </row>
    <row r="42" spans="2:17" x14ac:dyDescent="0.35">
      <c r="B42" s="159"/>
      <c r="C42" s="30" t="s">
        <v>8</v>
      </c>
      <c r="D42" s="1" t="s">
        <v>6</v>
      </c>
      <c r="E42" s="18">
        <v>20000</v>
      </c>
      <c r="F42" s="8">
        <v>24</v>
      </c>
      <c r="G42" s="36">
        <f t="shared" si="6"/>
        <v>480000</v>
      </c>
      <c r="H42" s="19">
        <f>G42/F42*6</f>
        <v>120000</v>
      </c>
      <c r="I42" s="19">
        <f>G42/F42*6</f>
        <v>120000</v>
      </c>
      <c r="J42" s="19">
        <f>G42/F42*6</f>
        <v>120000</v>
      </c>
      <c r="K42" s="19">
        <f>G42/F42*6</f>
        <v>120000</v>
      </c>
      <c r="L42" s="19"/>
      <c r="M42" s="20"/>
      <c r="N42" s="55"/>
      <c r="O42" s="178"/>
      <c r="P42" s="43"/>
      <c r="Q42" s="6">
        <f t="shared" si="7"/>
        <v>0</v>
      </c>
    </row>
    <row r="43" spans="2:17" x14ac:dyDescent="0.35">
      <c r="B43" s="159"/>
      <c r="C43" s="30" t="s">
        <v>23</v>
      </c>
      <c r="D43" s="9" t="s">
        <v>48</v>
      </c>
      <c r="E43" s="12">
        <v>25000</v>
      </c>
      <c r="F43" s="10">
        <v>10</v>
      </c>
      <c r="G43" s="37">
        <f t="shared" si="6"/>
        <v>250000</v>
      </c>
      <c r="H43" s="13">
        <f>G43/F43*0</f>
        <v>0</v>
      </c>
      <c r="I43" s="13">
        <f>G43/F43*5</f>
        <v>125000</v>
      </c>
      <c r="J43" s="13">
        <f>G43/F43*5</f>
        <v>125000</v>
      </c>
      <c r="K43" s="13">
        <f>G43/F43*0</f>
        <v>0</v>
      </c>
      <c r="L43" s="13"/>
      <c r="M43" s="21">
        <f>G43/F43*0</f>
        <v>0</v>
      </c>
      <c r="N43" s="145"/>
      <c r="O43" s="55"/>
      <c r="P43" s="43"/>
      <c r="Q43" s="6">
        <f t="shared" si="7"/>
        <v>0</v>
      </c>
    </row>
    <row r="44" spans="2:17" x14ac:dyDescent="0.35">
      <c r="B44" s="159"/>
      <c r="C44" s="31" t="s">
        <v>26</v>
      </c>
      <c r="D44" s="53"/>
      <c r="E44" s="14"/>
      <c r="F44" s="34"/>
      <c r="G44" s="63">
        <f>SUM(G36:G43)</f>
        <v>4950000</v>
      </c>
      <c r="H44" s="64">
        <f>SUM(H36:H43)</f>
        <v>1280000</v>
      </c>
      <c r="I44" s="64">
        <f t="shared" ref="I44:M44" si="8">SUM(I36:I43)</f>
        <v>1005000</v>
      </c>
      <c r="J44" s="64">
        <f t="shared" si="8"/>
        <v>1005000</v>
      </c>
      <c r="K44" s="64">
        <f t="shared" si="8"/>
        <v>730000</v>
      </c>
      <c r="L44" s="64">
        <f>SUM(L36:L43)</f>
        <v>510000</v>
      </c>
      <c r="M44" s="65">
        <f t="shared" si="8"/>
        <v>420000</v>
      </c>
      <c r="N44" s="140">
        <f>G44*D16</f>
        <v>36877500</v>
      </c>
      <c r="O44" s="178"/>
      <c r="P44" s="43"/>
      <c r="Q44" s="6">
        <f t="shared" si="7"/>
        <v>0</v>
      </c>
    </row>
    <row r="45" spans="2:17" ht="15" thickBot="1" x14ac:dyDescent="0.4">
      <c r="B45" s="159"/>
      <c r="C45" s="32" t="s">
        <v>34</v>
      </c>
      <c r="D45" s="22"/>
      <c r="E45" s="22"/>
      <c r="F45" s="22"/>
      <c r="G45" s="36">
        <f>G67/3*1</f>
        <v>237160</v>
      </c>
      <c r="H45" s="19">
        <f>G45/6</f>
        <v>39526.666666666664</v>
      </c>
      <c r="I45" s="19">
        <f>G45/6</f>
        <v>39526.666666666664</v>
      </c>
      <c r="J45" s="19">
        <f>G45/6</f>
        <v>39526.666666666664</v>
      </c>
      <c r="K45" s="19">
        <f>G45/6</f>
        <v>39526.666666666664</v>
      </c>
      <c r="L45" s="19">
        <f>G45/6</f>
        <v>39526.666666666664</v>
      </c>
      <c r="M45" s="20">
        <f>G45/6</f>
        <v>39526.666666666664</v>
      </c>
      <c r="N45" s="142">
        <f>G45*D16</f>
        <v>1766842</v>
      </c>
      <c r="O45" s="178"/>
      <c r="P45" s="43"/>
      <c r="Q45" s="6">
        <f t="shared" si="7"/>
        <v>0</v>
      </c>
    </row>
    <row r="46" spans="2:17" ht="15" thickTop="1" x14ac:dyDescent="0.35">
      <c r="B46" s="159"/>
      <c r="C46" s="23" t="s">
        <v>35</v>
      </c>
      <c r="D46" s="24"/>
      <c r="E46" s="24"/>
      <c r="F46" s="28"/>
      <c r="G46" s="47">
        <f>G44+G45</f>
        <v>5187160</v>
      </c>
      <c r="H46" s="25">
        <f>H44+H45</f>
        <v>1319526.6666666667</v>
      </c>
      <c r="I46" s="25">
        <f>I44+I45</f>
        <v>1044526.6666666666</v>
      </c>
      <c r="J46" s="25">
        <f t="shared" ref="J46:K46" si="9">J44+J45</f>
        <v>1044526.6666666666</v>
      </c>
      <c r="K46" s="25">
        <f t="shared" si="9"/>
        <v>769526.66666666663</v>
      </c>
      <c r="L46" s="25">
        <f>SUM(L44:L45)</f>
        <v>549526.66666666663</v>
      </c>
      <c r="M46" s="26">
        <f>M44+M45</f>
        <v>459526.66666666669</v>
      </c>
      <c r="N46" s="118">
        <f>G46*D16</f>
        <v>38644342</v>
      </c>
      <c r="O46" s="177"/>
      <c r="P46" s="44"/>
      <c r="Q46" s="6">
        <f t="shared" si="7"/>
        <v>0</v>
      </c>
    </row>
    <row r="47" spans="2:17" ht="6.65" customHeight="1" x14ac:dyDescent="0.35">
      <c r="B47" s="159"/>
      <c r="C47" s="159"/>
      <c r="D47" s="159"/>
      <c r="E47" s="159"/>
      <c r="F47" s="159"/>
      <c r="G47" s="160"/>
      <c r="H47" s="159"/>
      <c r="I47" s="159"/>
      <c r="J47" s="159"/>
      <c r="K47" s="159"/>
      <c r="L47" s="159"/>
      <c r="M47" s="159"/>
      <c r="N47" s="14"/>
      <c r="O47" s="159"/>
    </row>
    <row r="48" spans="2:17" ht="15" thickBot="1" x14ac:dyDescent="0.4">
      <c r="B48" s="159"/>
      <c r="C48" s="15" t="s">
        <v>10</v>
      </c>
      <c r="D48" s="16"/>
      <c r="E48" s="16"/>
      <c r="F48" s="16"/>
      <c r="G48" s="16"/>
      <c r="H48" s="16"/>
      <c r="I48" s="16"/>
      <c r="J48" s="16"/>
      <c r="K48" s="16"/>
      <c r="L48" s="16"/>
      <c r="M48" s="17"/>
      <c r="N48" s="137"/>
      <c r="O48" s="177"/>
      <c r="P48" s="44"/>
    </row>
    <row r="49" spans="2:19" ht="15" thickTop="1" x14ac:dyDescent="0.35">
      <c r="B49" s="159"/>
      <c r="C49" s="29" t="s">
        <v>3</v>
      </c>
      <c r="D49" s="1" t="s">
        <v>49</v>
      </c>
      <c r="E49" s="18">
        <v>75000</v>
      </c>
      <c r="F49" s="33">
        <v>1</v>
      </c>
      <c r="G49" s="35">
        <f t="shared" ref="G49:G56" si="10">E49*F49</f>
        <v>75000</v>
      </c>
      <c r="H49" s="19">
        <f>G49/F49</f>
        <v>75000</v>
      </c>
      <c r="I49" s="19">
        <f>G49/F49*0</f>
        <v>0</v>
      </c>
      <c r="J49" s="19">
        <f>G49/F49*0</f>
        <v>0</v>
      </c>
      <c r="K49" s="19">
        <f>G49/F49*0</f>
        <v>0</v>
      </c>
      <c r="L49" s="19"/>
      <c r="M49" s="20">
        <f>G49/F49*0</f>
        <v>0</v>
      </c>
      <c r="N49" s="55"/>
      <c r="O49" s="179"/>
      <c r="P49" s="42"/>
      <c r="Q49" s="6">
        <f>G49-(H49+I49+J49+K49+L49+M49)</f>
        <v>0</v>
      </c>
    </row>
    <row r="50" spans="2:19" x14ac:dyDescent="0.35">
      <c r="B50" s="159"/>
      <c r="C50" s="30" t="s">
        <v>4</v>
      </c>
      <c r="D50" s="1" t="s">
        <v>50</v>
      </c>
      <c r="E50" s="18">
        <v>15000</v>
      </c>
      <c r="F50" s="8">
        <v>2</v>
      </c>
      <c r="G50" s="36">
        <f t="shared" si="10"/>
        <v>30000</v>
      </c>
      <c r="H50" s="19">
        <f>G50/F50*1</f>
        <v>15000</v>
      </c>
      <c r="I50" s="19">
        <f>G50/F50*1</f>
        <v>15000</v>
      </c>
      <c r="J50" s="19">
        <f>G50/F50*0</f>
        <v>0</v>
      </c>
      <c r="K50" s="19">
        <f>G50/F50*0</f>
        <v>0</v>
      </c>
      <c r="L50" s="19"/>
      <c r="M50" s="20">
        <f>G50/2*0</f>
        <v>0</v>
      </c>
      <c r="N50" s="55"/>
      <c r="O50" s="179"/>
      <c r="P50" s="42"/>
      <c r="Q50" s="6">
        <f t="shared" ref="Q50:Q59" si="11">G50-(H50+I50+J50+K50+L50+M50)</f>
        <v>0</v>
      </c>
    </row>
    <row r="51" spans="2:19" x14ac:dyDescent="0.35">
      <c r="B51" s="159"/>
      <c r="C51" s="30" t="s">
        <v>21</v>
      </c>
      <c r="D51" s="1" t="s">
        <v>51</v>
      </c>
      <c r="E51" s="18">
        <v>500</v>
      </c>
      <c r="F51" s="8">
        <v>50</v>
      </c>
      <c r="G51" s="36">
        <f t="shared" si="10"/>
        <v>25000</v>
      </c>
      <c r="H51" s="19">
        <f>G51/F51*25</f>
        <v>12500</v>
      </c>
      <c r="I51" s="19">
        <f>G51/F51*25</f>
        <v>12500</v>
      </c>
      <c r="J51" s="19">
        <f>G51/F51*0</f>
        <v>0</v>
      </c>
      <c r="K51" s="19">
        <f>G51/F51*0</f>
        <v>0</v>
      </c>
      <c r="L51" s="19"/>
      <c r="M51" s="20">
        <f>G51/F51*0</f>
        <v>0</v>
      </c>
      <c r="N51" s="135"/>
      <c r="O51" s="22"/>
      <c r="P51" s="42"/>
      <c r="Q51" s="6">
        <f t="shared" si="11"/>
        <v>0</v>
      </c>
    </row>
    <row r="52" spans="2:19" x14ac:dyDescent="0.35">
      <c r="B52" s="159"/>
      <c r="C52" s="30" t="s">
        <v>22</v>
      </c>
      <c r="D52" s="1" t="s">
        <v>36</v>
      </c>
      <c r="E52" s="18">
        <v>80000</v>
      </c>
      <c r="F52" s="8">
        <v>2</v>
      </c>
      <c r="G52" s="36">
        <f t="shared" si="10"/>
        <v>160000</v>
      </c>
      <c r="H52" s="19">
        <f>G52/F52*1</f>
        <v>80000</v>
      </c>
      <c r="I52" s="19">
        <f>G52/F52*1</f>
        <v>80000</v>
      </c>
      <c r="J52" s="19">
        <f>G52/F52*0</f>
        <v>0</v>
      </c>
      <c r="K52" s="19">
        <f>G52/F52*0</f>
        <v>0</v>
      </c>
      <c r="L52" s="19"/>
      <c r="M52" s="20">
        <f>G52/F52*0</f>
        <v>0</v>
      </c>
      <c r="N52" s="135"/>
      <c r="O52" s="22"/>
      <c r="P52" s="42"/>
      <c r="Q52" s="6">
        <f t="shared" si="11"/>
        <v>0</v>
      </c>
    </row>
    <row r="53" spans="2:19" x14ac:dyDescent="0.35">
      <c r="B53" s="159"/>
      <c r="C53" s="30" t="s">
        <v>5</v>
      </c>
      <c r="D53" s="1" t="s">
        <v>6</v>
      </c>
      <c r="E53" s="18">
        <v>20000</v>
      </c>
      <c r="F53" s="8">
        <v>12</v>
      </c>
      <c r="G53" s="36">
        <f t="shared" si="10"/>
        <v>240000</v>
      </c>
      <c r="H53" s="19">
        <f>G53/12*4</f>
        <v>80000</v>
      </c>
      <c r="I53" s="19">
        <f>G53/F53*6</f>
        <v>120000</v>
      </c>
      <c r="J53" s="19">
        <f>G53/F53*2</f>
        <v>40000</v>
      </c>
      <c r="K53" s="19">
        <f>G53/F53*0</f>
        <v>0</v>
      </c>
      <c r="L53" s="19"/>
      <c r="M53" s="20">
        <f>G53/F53*0</f>
        <v>0</v>
      </c>
      <c r="N53" s="135"/>
      <c r="O53" s="22"/>
      <c r="P53" s="42"/>
      <c r="Q53" s="6">
        <f t="shared" si="11"/>
        <v>0</v>
      </c>
    </row>
    <row r="54" spans="2:19" x14ac:dyDescent="0.35">
      <c r="B54" s="159"/>
      <c r="C54" s="30" t="s">
        <v>7</v>
      </c>
      <c r="D54" s="1" t="s">
        <v>6</v>
      </c>
      <c r="E54" s="18">
        <v>20000</v>
      </c>
      <c r="F54" s="8">
        <v>12</v>
      </c>
      <c r="G54" s="36">
        <f t="shared" si="10"/>
        <v>240000</v>
      </c>
      <c r="H54" s="19">
        <f>G54/12*6</f>
        <v>120000</v>
      </c>
      <c r="I54" s="19">
        <f>G54/F54*6</f>
        <v>120000</v>
      </c>
      <c r="J54" s="19">
        <f>G54/12*0</f>
        <v>0</v>
      </c>
      <c r="K54" s="19">
        <f>G54/12*0</f>
        <v>0</v>
      </c>
      <c r="L54" s="19"/>
      <c r="M54" s="20">
        <f>G54/12*0</f>
        <v>0</v>
      </c>
      <c r="N54" s="135"/>
      <c r="O54" s="22"/>
      <c r="P54" s="42"/>
      <c r="Q54" s="6">
        <f t="shared" si="11"/>
        <v>0</v>
      </c>
    </row>
    <row r="55" spans="2:19" x14ac:dyDescent="0.35">
      <c r="B55" s="159"/>
      <c r="C55" s="30" t="s">
        <v>8</v>
      </c>
      <c r="D55" s="1" t="s">
        <v>6</v>
      </c>
      <c r="E55" s="18">
        <v>35000</v>
      </c>
      <c r="F55" s="8">
        <v>5</v>
      </c>
      <c r="G55" s="36">
        <f t="shared" si="10"/>
        <v>175000</v>
      </c>
      <c r="H55" s="19">
        <f>G55/5*4</f>
        <v>140000</v>
      </c>
      <c r="I55" s="19">
        <f>G55/5</f>
        <v>35000</v>
      </c>
      <c r="J55" s="19">
        <f>G55/5*0</f>
        <v>0</v>
      </c>
      <c r="K55" s="19">
        <f>G55/F55*0</f>
        <v>0</v>
      </c>
      <c r="L55" s="19"/>
      <c r="M55" s="20">
        <f>G55/F55*0</f>
        <v>0</v>
      </c>
      <c r="N55" s="135"/>
      <c r="O55" s="22"/>
      <c r="P55" s="42"/>
      <c r="Q55" s="6">
        <f t="shared" si="11"/>
        <v>0</v>
      </c>
    </row>
    <row r="56" spans="2:19" x14ac:dyDescent="0.35">
      <c r="B56" s="159"/>
      <c r="C56" s="30" t="s">
        <v>23</v>
      </c>
      <c r="D56" s="9" t="s">
        <v>48</v>
      </c>
      <c r="E56" s="12">
        <v>0</v>
      </c>
      <c r="F56" s="10">
        <v>0</v>
      </c>
      <c r="G56" s="37">
        <f t="shared" si="10"/>
        <v>0</v>
      </c>
      <c r="H56" s="13">
        <f>$G$56/5</f>
        <v>0</v>
      </c>
      <c r="I56" s="13">
        <f t="shared" ref="I56:M56" si="12">$G$56/5</f>
        <v>0</v>
      </c>
      <c r="J56" s="13">
        <f t="shared" si="12"/>
        <v>0</v>
      </c>
      <c r="K56" s="13">
        <f t="shared" si="12"/>
        <v>0</v>
      </c>
      <c r="L56" s="13"/>
      <c r="M56" s="21">
        <f t="shared" si="12"/>
        <v>0</v>
      </c>
      <c r="N56" s="145"/>
      <c r="O56" s="22"/>
      <c r="P56" s="42"/>
      <c r="Q56" s="6">
        <f t="shared" si="11"/>
        <v>0</v>
      </c>
    </row>
    <row r="57" spans="2:19" x14ac:dyDescent="0.35">
      <c r="B57" s="159"/>
      <c r="C57" s="31" t="s">
        <v>32</v>
      </c>
      <c r="D57" s="53"/>
      <c r="E57" s="14"/>
      <c r="F57" s="34"/>
      <c r="G57" s="63">
        <f>SUM(G49:G56)</f>
        <v>945000</v>
      </c>
      <c r="H57" s="64">
        <f>SUM(H49:H56)</f>
        <v>522500</v>
      </c>
      <c r="I57" s="64">
        <f>SUM(I49:I56)</f>
        <v>382500</v>
      </c>
      <c r="J57" s="64">
        <f t="shared" ref="J57:M57" si="13">SUM(J49:J56)</f>
        <v>40000</v>
      </c>
      <c r="K57" s="64">
        <f t="shared" si="13"/>
        <v>0</v>
      </c>
      <c r="L57" s="64"/>
      <c r="M57" s="65">
        <f t="shared" si="13"/>
        <v>0</v>
      </c>
      <c r="N57" s="109">
        <f>G57*D16</f>
        <v>7040250</v>
      </c>
      <c r="O57" s="22"/>
      <c r="P57" s="42"/>
      <c r="Q57" s="6">
        <f t="shared" si="11"/>
        <v>0</v>
      </c>
    </row>
    <row r="58" spans="2:19" ht="15" thickBot="1" x14ac:dyDescent="0.4">
      <c r="B58" s="159"/>
      <c r="C58" s="32" t="s">
        <v>33</v>
      </c>
      <c r="D58" s="22"/>
      <c r="E58" s="22"/>
      <c r="F58" s="22"/>
      <c r="G58" s="36">
        <f>G67/3*0</f>
        <v>0</v>
      </c>
      <c r="H58" s="19">
        <f>$G$58/5</f>
        <v>0</v>
      </c>
      <c r="I58" s="19">
        <f t="shared" ref="I58:M58" si="14">$G$58/5</f>
        <v>0</v>
      </c>
      <c r="J58" s="19">
        <f t="shared" si="14"/>
        <v>0</v>
      </c>
      <c r="K58" s="19">
        <f t="shared" si="14"/>
        <v>0</v>
      </c>
      <c r="L58" s="19"/>
      <c r="M58" s="54">
        <f t="shared" si="14"/>
        <v>0</v>
      </c>
      <c r="N58" s="55">
        <f>G58*D16</f>
        <v>0</v>
      </c>
      <c r="O58" s="179"/>
      <c r="P58" s="42"/>
      <c r="Q58" s="6">
        <f t="shared" si="11"/>
        <v>0</v>
      </c>
    </row>
    <row r="59" spans="2:19" ht="15" thickTop="1" x14ac:dyDescent="0.35">
      <c r="B59" s="159"/>
      <c r="C59" s="23" t="s">
        <v>31</v>
      </c>
      <c r="D59" s="24"/>
      <c r="E59" s="24"/>
      <c r="F59" s="28"/>
      <c r="G59" s="47">
        <f t="shared" ref="G59:M59" si="15">G57+G58</f>
        <v>945000</v>
      </c>
      <c r="H59" s="25">
        <f t="shared" si="15"/>
        <v>522500</v>
      </c>
      <c r="I59" s="25">
        <f t="shared" si="15"/>
        <v>382500</v>
      </c>
      <c r="J59" s="25">
        <f t="shared" si="15"/>
        <v>40000</v>
      </c>
      <c r="K59" s="25">
        <f t="shared" si="15"/>
        <v>0</v>
      </c>
      <c r="L59" s="25"/>
      <c r="M59" s="26">
        <f t="shared" si="15"/>
        <v>0</v>
      </c>
      <c r="N59" s="118">
        <f>G59*D16</f>
        <v>7040250</v>
      </c>
      <c r="O59" s="169"/>
      <c r="P59" s="44"/>
      <c r="Q59" s="6">
        <f t="shared" si="11"/>
        <v>0</v>
      </c>
    </row>
    <row r="60" spans="2:19" ht="8.25" customHeight="1" x14ac:dyDescent="0.35">
      <c r="B60" s="159"/>
      <c r="C60" s="169"/>
      <c r="D60" s="169"/>
      <c r="E60" s="169"/>
      <c r="F60" s="169"/>
      <c r="G60" s="170"/>
      <c r="H60" s="171"/>
      <c r="I60" s="171"/>
      <c r="J60" s="171"/>
      <c r="K60" s="171"/>
      <c r="L60" s="171"/>
      <c r="M60" s="171"/>
      <c r="N60" s="171"/>
      <c r="O60" s="169"/>
      <c r="P60" s="44"/>
      <c r="Q60" s="6"/>
    </row>
    <row r="61" spans="2:19" ht="15" thickBot="1" x14ac:dyDescent="0.4">
      <c r="B61" s="159"/>
      <c r="C61" s="15" t="s">
        <v>14</v>
      </c>
      <c r="D61" s="16"/>
      <c r="E61" s="16"/>
      <c r="F61" s="16"/>
      <c r="G61" s="27"/>
      <c r="H61" s="16"/>
      <c r="I61" s="16"/>
      <c r="J61" s="16"/>
      <c r="K61" s="16"/>
      <c r="L61" s="16"/>
      <c r="M61" s="17"/>
      <c r="N61" s="143"/>
      <c r="O61" s="169"/>
      <c r="P61" s="44"/>
      <c r="Q61" s="6"/>
    </row>
    <row r="62" spans="2:19" ht="15" thickTop="1" x14ac:dyDescent="0.35">
      <c r="B62" s="159"/>
      <c r="C62" s="29" t="s">
        <v>107</v>
      </c>
      <c r="D62" s="22"/>
      <c r="E62" s="165"/>
      <c r="F62" s="166"/>
      <c r="G62" s="167">
        <f>(G31+G44+G57)/10</f>
        <v>924000</v>
      </c>
      <c r="H62" s="55"/>
      <c r="I62" s="168"/>
      <c r="J62" s="55"/>
      <c r="K62" s="55"/>
      <c r="L62" s="55"/>
      <c r="M62" s="56"/>
      <c r="N62" s="139">
        <f>G62*D16</f>
        <v>6883800</v>
      </c>
      <c r="O62" s="169"/>
      <c r="P62" s="44"/>
      <c r="Q62" s="6"/>
    </row>
    <row r="63" spans="2:19" ht="8.25" customHeight="1" thickBot="1" x14ac:dyDescent="0.4">
      <c r="B63" s="159"/>
      <c r="C63" s="162"/>
      <c r="D63" s="164"/>
      <c r="E63" s="22"/>
      <c r="F63" s="162"/>
      <c r="G63" s="22"/>
      <c r="H63" s="162"/>
      <c r="I63" s="22"/>
      <c r="J63" s="162"/>
      <c r="K63" s="162"/>
      <c r="L63" s="162"/>
      <c r="M63" s="162"/>
      <c r="N63" s="162"/>
      <c r="O63" s="159"/>
      <c r="P63" s="44"/>
      <c r="Q63" s="6"/>
    </row>
    <row r="64" spans="2:19" ht="15" thickTop="1" x14ac:dyDescent="0.35">
      <c r="B64" s="159"/>
      <c r="C64" s="147" t="s">
        <v>85</v>
      </c>
      <c r="D64" s="23"/>
      <c r="E64" s="24"/>
      <c r="F64" s="148"/>
      <c r="G64" s="47">
        <f>G31+G44+G57+G62</f>
        <v>10164000</v>
      </c>
      <c r="H64" s="149">
        <f t="shared" ref="H64:N64" si="16">H31+H44+H57</f>
        <v>2497500</v>
      </c>
      <c r="I64" s="25">
        <f t="shared" si="16"/>
        <v>2137500</v>
      </c>
      <c r="J64" s="150">
        <f t="shared" si="16"/>
        <v>1580000</v>
      </c>
      <c r="K64" s="150">
        <f t="shared" si="16"/>
        <v>1265000</v>
      </c>
      <c r="L64" s="150">
        <f t="shared" si="16"/>
        <v>925000</v>
      </c>
      <c r="M64" s="150">
        <f t="shared" si="16"/>
        <v>835000</v>
      </c>
      <c r="N64" s="151">
        <f t="shared" si="16"/>
        <v>68838000</v>
      </c>
      <c r="O64" s="169"/>
      <c r="P64" s="44"/>
      <c r="Q64" s="6"/>
      <c r="S64" s="6"/>
    </row>
    <row r="65" spans="2:21" ht="8.25" customHeight="1" thickBot="1" x14ac:dyDescent="0.4">
      <c r="B65" s="159"/>
      <c r="C65" s="162"/>
      <c r="D65" s="162"/>
      <c r="E65" s="162"/>
      <c r="F65" s="162"/>
      <c r="G65" s="163"/>
      <c r="H65" s="162"/>
      <c r="I65" s="162"/>
      <c r="J65" s="162"/>
      <c r="K65" s="162"/>
      <c r="L65" s="162"/>
      <c r="M65" s="162"/>
      <c r="N65" s="162"/>
      <c r="O65" s="159"/>
      <c r="Q65" s="6"/>
    </row>
    <row r="66" spans="2:21" ht="15" thickTop="1" x14ac:dyDescent="0.35">
      <c r="B66" s="159"/>
      <c r="C66" s="23" t="s">
        <v>24</v>
      </c>
      <c r="D66" s="24"/>
      <c r="E66" s="24"/>
      <c r="F66" s="24"/>
      <c r="G66" s="152"/>
      <c r="H66" s="24"/>
      <c r="I66" s="24"/>
      <c r="J66" s="24"/>
      <c r="K66" s="24"/>
      <c r="L66" s="24"/>
      <c r="M66" s="28"/>
      <c r="N66" s="153"/>
      <c r="O66" s="177"/>
      <c r="P66" s="44"/>
      <c r="Q66" s="6"/>
      <c r="T66" s="191"/>
      <c r="U66" s="191"/>
    </row>
    <row r="67" spans="2:21" x14ac:dyDescent="0.35">
      <c r="B67" s="159"/>
      <c r="C67" s="30" t="s">
        <v>81</v>
      </c>
      <c r="D67" s="22"/>
      <c r="E67" s="22"/>
      <c r="F67" s="49"/>
      <c r="G67" s="36">
        <f>(G64)/100*7</f>
        <v>711480</v>
      </c>
      <c r="H67" s="19">
        <f>G67/6</f>
        <v>118580</v>
      </c>
      <c r="I67" s="19">
        <f>G67/6</f>
        <v>118580</v>
      </c>
      <c r="J67" s="19">
        <f>G67/6</f>
        <v>118580</v>
      </c>
      <c r="K67" s="19">
        <f>G67/6</f>
        <v>118580</v>
      </c>
      <c r="L67" s="19">
        <f>G67/6</f>
        <v>118580</v>
      </c>
      <c r="M67" s="20">
        <f>G67/6</f>
        <v>118580</v>
      </c>
      <c r="N67" s="154">
        <f>G67*D16</f>
        <v>5300526</v>
      </c>
      <c r="O67" s="159"/>
      <c r="Q67" s="6">
        <f>G67-(H67+I67+J67+K67+L67+M67)</f>
        <v>0</v>
      </c>
    </row>
    <row r="68" spans="2:21" ht="15" thickBot="1" x14ac:dyDescent="0.4">
      <c r="B68" s="159"/>
      <c r="C68" s="32" t="s">
        <v>11</v>
      </c>
      <c r="D68" s="1" t="s">
        <v>36</v>
      </c>
      <c r="E68" s="18">
        <v>45000</v>
      </c>
      <c r="F68" s="52">
        <v>3</v>
      </c>
      <c r="G68" s="38">
        <f>E68*F68</f>
        <v>135000</v>
      </c>
      <c r="H68" s="18"/>
      <c r="I68" s="18">
        <f>G68/F68</f>
        <v>45000</v>
      </c>
      <c r="J68" s="18"/>
      <c r="K68" s="18">
        <f>G68/F68</f>
        <v>45000</v>
      </c>
      <c r="L68" s="18"/>
      <c r="M68" s="20">
        <f>G68/F68</f>
        <v>45000</v>
      </c>
      <c r="N68" s="136">
        <f>G68*D16</f>
        <v>1005750</v>
      </c>
      <c r="O68" s="179"/>
      <c r="Q68" s="6">
        <f t="shared" ref="Q68:Q70" si="17">G68-(H68+I68+J68+K68+L68+M68)</f>
        <v>0</v>
      </c>
    </row>
    <row r="69" spans="2:21" ht="15" thickTop="1" x14ac:dyDescent="0.35">
      <c r="B69" s="159"/>
      <c r="C69" s="23" t="s">
        <v>30</v>
      </c>
      <c r="D69" s="24"/>
      <c r="E69" s="24"/>
      <c r="F69" s="28"/>
      <c r="G69" s="47">
        <f>SUM(G67:G68)</f>
        <v>846480</v>
      </c>
      <c r="H69" s="57">
        <f>SUM(H67:H68)</f>
        <v>118580</v>
      </c>
      <c r="I69" s="57">
        <f t="shared" ref="I69:M69" si="18">SUM(I67:I68)</f>
        <v>163580</v>
      </c>
      <c r="J69" s="57">
        <f t="shared" si="18"/>
        <v>118580</v>
      </c>
      <c r="K69" s="57">
        <f t="shared" si="18"/>
        <v>163580</v>
      </c>
      <c r="L69" s="57">
        <f>SUM(L67:L68)</f>
        <v>118580</v>
      </c>
      <c r="M69" s="58">
        <f t="shared" si="18"/>
        <v>163580</v>
      </c>
      <c r="N69" s="119">
        <f>G69*D16</f>
        <v>6306276</v>
      </c>
      <c r="O69" s="169"/>
      <c r="P69" s="44"/>
      <c r="Q69" s="6">
        <f t="shared" si="17"/>
        <v>0</v>
      </c>
    </row>
    <row r="70" spans="2:21" ht="6" customHeight="1" thickBot="1" x14ac:dyDescent="0.4">
      <c r="B70" s="159"/>
      <c r="C70" s="159"/>
      <c r="D70" s="159"/>
      <c r="E70" s="159"/>
      <c r="F70" s="159"/>
      <c r="G70" s="160"/>
      <c r="H70" s="159"/>
      <c r="I70" s="159"/>
      <c r="J70" s="159"/>
      <c r="K70" s="159"/>
      <c r="L70" s="159"/>
      <c r="M70" s="159"/>
      <c r="N70" s="161"/>
      <c r="O70" s="159"/>
      <c r="Q70" s="6">
        <f t="shared" si="17"/>
        <v>0</v>
      </c>
    </row>
    <row r="71" spans="2:21" ht="28.5" customHeight="1" thickTop="1" x14ac:dyDescent="0.35">
      <c r="B71" s="159"/>
      <c r="C71" s="120" t="s">
        <v>86</v>
      </c>
      <c r="D71" s="123"/>
      <c r="E71" s="123"/>
      <c r="F71" s="124"/>
      <c r="G71" s="121">
        <f t="shared" ref="G71:M71" si="19">G64+G69</f>
        <v>11010480</v>
      </c>
      <c r="H71" s="122">
        <f>H64+H69</f>
        <v>2616080</v>
      </c>
      <c r="I71" s="122">
        <f>I64+I69</f>
        <v>2301080</v>
      </c>
      <c r="J71" s="122">
        <f t="shared" si="19"/>
        <v>1698580</v>
      </c>
      <c r="K71" s="122">
        <f t="shared" si="19"/>
        <v>1428580</v>
      </c>
      <c r="L71" s="122">
        <f t="shared" si="19"/>
        <v>1043580</v>
      </c>
      <c r="M71" s="155">
        <f t="shared" si="19"/>
        <v>998580</v>
      </c>
      <c r="N71" s="144">
        <f>N20+N69</f>
        <v>80444802</v>
      </c>
      <c r="O71" s="180"/>
      <c r="P71" s="46"/>
      <c r="Q71" s="6"/>
    </row>
    <row r="72" spans="2:21" x14ac:dyDescent="0.35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</row>
    <row r="76" spans="2:21" x14ac:dyDescent="0.35">
      <c r="C76" t="s">
        <v>84</v>
      </c>
    </row>
  </sheetData>
  <mergeCells count="9">
    <mergeCell ref="D14:M14"/>
    <mergeCell ref="D16:M16"/>
    <mergeCell ref="D8:M8"/>
    <mergeCell ref="D9:M9"/>
    <mergeCell ref="D10:M10"/>
    <mergeCell ref="D11:M11"/>
    <mergeCell ref="D12:M12"/>
    <mergeCell ref="D13:M13"/>
    <mergeCell ref="D15:M15"/>
  </mergeCells>
  <pageMargins left="0.7" right="0.7" top="0.75" bottom="0.75" header="0.3" footer="0.3"/>
  <pageSetup paperSize="9" scale="55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71"/>
  <sheetViews>
    <sheetView showGridLines="0" topLeftCell="A8" zoomScaleNormal="100" workbookViewId="0">
      <pane ySplit="8" topLeftCell="A16" activePane="bottomLeft" state="frozen"/>
      <selection activeCell="A8" sqref="A8"/>
      <selection pane="bottomLeft" activeCell="C64" sqref="C64"/>
    </sheetView>
  </sheetViews>
  <sheetFormatPr defaultRowHeight="14.5" outlineLevelRow="1" x14ac:dyDescent="0.35"/>
  <cols>
    <col min="1" max="2" width="2.7265625" customWidth="1"/>
    <col min="3" max="3" width="35" customWidth="1"/>
    <col min="4" max="4" width="19.26953125" customWidth="1"/>
    <col min="5" max="5" width="17" customWidth="1"/>
    <col min="6" max="6" width="15.26953125" customWidth="1"/>
    <col min="7" max="7" width="15.453125" customWidth="1"/>
    <col min="8" max="8" width="12.7265625" bestFit="1" customWidth="1"/>
    <col min="9" max="9" width="58.1796875" bestFit="1" customWidth="1"/>
    <col min="10" max="10" width="15.7265625" customWidth="1"/>
    <col min="11" max="11" width="15" customWidth="1"/>
    <col min="12" max="13" width="12" customWidth="1"/>
    <col min="14" max="14" width="3.1796875" style="2" customWidth="1"/>
    <col min="15" max="15" width="3.26953125" customWidth="1"/>
  </cols>
  <sheetData>
    <row r="2" spans="2:22" ht="21" x14ac:dyDescent="0.5">
      <c r="B2" s="3"/>
      <c r="C2" s="74" t="s">
        <v>78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2" x14ac:dyDescent="0.35">
      <c r="B3" s="3"/>
      <c r="C3" s="126" t="s">
        <v>15</v>
      </c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68"/>
    </row>
    <row r="4" spans="2:22" x14ac:dyDescent="0.35">
      <c r="B4" s="3"/>
      <c r="C4" s="11" t="s">
        <v>42</v>
      </c>
      <c r="D4" s="215" t="s">
        <v>43</v>
      </c>
      <c r="E4" s="216"/>
      <c r="F4" s="216"/>
      <c r="G4" s="216"/>
      <c r="H4" s="216"/>
      <c r="I4" s="216"/>
      <c r="J4" s="216"/>
      <c r="K4" s="216"/>
      <c r="L4" s="216"/>
      <c r="M4" s="217"/>
      <c r="N4" s="69"/>
      <c r="Q4" s="76"/>
      <c r="R4" s="76"/>
      <c r="S4" s="77"/>
      <c r="T4" s="76"/>
      <c r="U4" s="76"/>
      <c r="V4" s="77"/>
    </row>
    <row r="5" spans="2:22" x14ac:dyDescent="0.35">
      <c r="B5" s="3"/>
      <c r="C5" s="11" t="s">
        <v>16</v>
      </c>
      <c r="D5" s="209" t="s">
        <v>41</v>
      </c>
      <c r="E5" s="210"/>
      <c r="F5" s="210"/>
      <c r="G5" s="210"/>
      <c r="H5" s="210"/>
      <c r="I5" s="210"/>
      <c r="J5" s="210"/>
      <c r="K5" s="210"/>
      <c r="L5" s="210"/>
      <c r="M5" s="211"/>
      <c r="N5" s="69"/>
      <c r="Q5" s="76"/>
      <c r="R5" s="76"/>
      <c r="S5" s="77"/>
      <c r="T5" s="76"/>
      <c r="U5" s="76"/>
      <c r="V5" s="77"/>
    </row>
    <row r="6" spans="2:22" x14ac:dyDescent="0.35">
      <c r="B6" s="3"/>
      <c r="C6" s="11" t="s">
        <v>17</v>
      </c>
      <c r="D6" s="209" t="s">
        <v>40</v>
      </c>
      <c r="E6" s="210"/>
      <c r="F6" s="210"/>
      <c r="G6" s="210"/>
      <c r="H6" s="210"/>
      <c r="I6" s="210"/>
      <c r="J6" s="210"/>
      <c r="K6" s="210"/>
      <c r="L6" s="210"/>
      <c r="M6" s="211"/>
      <c r="N6" s="69"/>
      <c r="Q6" s="76"/>
      <c r="R6" s="76"/>
      <c r="S6" s="77"/>
      <c r="T6" s="76"/>
      <c r="U6" s="76"/>
      <c r="V6" s="77"/>
    </row>
    <row r="7" spans="2:22" x14ac:dyDescent="0.35">
      <c r="B7" s="3"/>
      <c r="C7" s="11" t="s">
        <v>60</v>
      </c>
      <c r="D7" s="209" t="s">
        <v>61</v>
      </c>
      <c r="E7" s="210"/>
      <c r="F7" s="210"/>
      <c r="G7" s="210"/>
      <c r="H7" s="210"/>
      <c r="I7" s="210"/>
      <c r="J7" s="210"/>
      <c r="K7" s="210"/>
      <c r="L7" s="210"/>
      <c r="M7" s="211"/>
      <c r="N7" s="69"/>
      <c r="Q7" s="76"/>
      <c r="R7" s="76"/>
      <c r="S7" s="77"/>
      <c r="T7" s="76"/>
      <c r="U7" s="76"/>
      <c r="V7" s="77"/>
    </row>
    <row r="8" spans="2:22" x14ac:dyDescent="0.35">
      <c r="B8" s="3"/>
      <c r="C8" s="11" t="s">
        <v>18</v>
      </c>
      <c r="D8" s="209" t="s">
        <v>79</v>
      </c>
      <c r="E8" s="210"/>
      <c r="F8" s="210"/>
      <c r="G8" s="210"/>
      <c r="H8" s="210"/>
      <c r="I8" s="210"/>
      <c r="J8" s="210"/>
      <c r="K8" s="210"/>
      <c r="L8" s="210"/>
      <c r="M8" s="211"/>
      <c r="N8" s="69"/>
    </row>
    <row r="9" spans="2:22" x14ac:dyDescent="0.35">
      <c r="B9" s="3"/>
      <c r="C9" s="11" t="s">
        <v>58</v>
      </c>
      <c r="D9" s="209" t="s">
        <v>74</v>
      </c>
      <c r="E9" s="210"/>
      <c r="F9" s="210"/>
      <c r="G9" s="210"/>
      <c r="H9" s="210"/>
      <c r="I9" s="210"/>
      <c r="J9" s="210"/>
      <c r="K9" s="210"/>
      <c r="L9" s="210"/>
      <c r="M9" s="211"/>
      <c r="N9" s="69"/>
    </row>
    <row r="10" spans="2:22" x14ac:dyDescent="0.35">
      <c r="B10" s="3"/>
      <c r="C10" s="11" t="s">
        <v>59</v>
      </c>
      <c r="D10" s="181" t="s">
        <v>75</v>
      </c>
      <c r="E10" s="182"/>
      <c r="F10" s="182"/>
      <c r="G10" s="182"/>
      <c r="H10" s="182"/>
      <c r="I10" s="182"/>
      <c r="J10" s="182"/>
      <c r="K10" s="182"/>
      <c r="L10" s="182"/>
      <c r="M10" s="183"/>
      <c r="N10" s="69"/>
    </row>
    <row r="11" spans="2:22" x14ac:dyDescent="0.35">
      <c r="B11" s="3"/>
      <c r="C11" s="11" t="s">
        <v>19</v>
      </c>
      <c r="D11" s="209" t="s">
        <v>56</v>
      </c>
      <c r="E11" s="210"/>
      <c r="F11" s="210"/>
      <c r="G11" s="210"/>
      <c r="H11" s="210"/>
      <c r="I11" s="210"/>
      <c r="J11" s="210"/>
      <c r="K11" s="210"/>
      <c r="L11" s="210"/>
      <c r="M11" s="211"/>
      <c r="N11" s="69"/>
    </row>
    <row r="12" spans="2:22" x14ac:dyDescent="0.35">
      <c r="B12" s="3"/>
      <c r="C12" s="11" t="s">
        <v>20</v>
      </c>
      <c r="D12" s="218" t="s">
        <v>57</v>
      </c>
      <c r="E12" s="219"/>
      <c r="F12" s="219"/>
      <c r="G12" s="219"/>
      <c r="H12" s="219"/>
      <c r="I12" s="219"/>
      <c r="J12" s="219"/>
      <c r="K12" s="219"/>
      <c r="L12" s="219"/>
      <c r="M12" s="220"/>
      <c r="N12" s="69"/>
    </row>
    <row r="13" spans="2:22" ht="6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22" ht="25.15" customHeight="1" x14ac:dyDescent="0.35">
      <c r="B14" s="3"/>
      <c r="C14" s="184"/>
      <c r="D14" s="185"/>
      <c r="E14" s="221" t="s">
        <v>62</v>
      </c>
      <c r="F14" s="222"/>
      <c r="G14" s="222"/>
      <c r="H14" s="222"/>
      <c r="I14" s="223"/>
      <c r="J14" s="221" t="s">
        <v>72</v>
      </c>
      <c r="K14" s="222"/>
      <c r="L14" s="222"/>
      <c r="M14" s="223"/>
      <c r="N14" s="3"/>
    </row>
    <row r="15" spans="2:22" ht="59.25" customHeight="1" thickBot="1" x14ac:dyDescent="0.4">
      <c r="B15" s="3"/>
      <c r="C15" s="186"/>
      <c r="D15" s="187" t="s">
        <v>93</v>
      </c>
      <c r="E15" s="188" t="s">
        <v>94</v>
      </c>
      <c r="F15" s="188" t="s">
        <v>101</v>
      </c>
      <c r="G15" s="188" t="s">
        <v>63</v>
      </c>
      <c r="H15" s="189" t="s">
        <v>64</v>
      </c>
      <c r="I15" s="190" t="s">
        <v>65</v>
      </c>
      <c r="J15" s="188" t="s">
        <v>95</v>
      </c>
      <c r="K15" s="188" t="s">
        <v>67</v>
      </c>
      <c r="L15" s="189" t="s">
        <v>73</v>
      </c>
      <c r="M15" s="189" t="s">
        <v>96</v>
      </c>
      <c r="N15" s="70"/>
      <c r="O15" s="59"/>
    </row>
    <row r="16" spans="2:22" ht="6" customHeight="1" thickTop="1" thickBo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0"/>
      <c r="O16" s="59"/>
    </row>
    <row r="17" spans="2:15" ht="15.5" thickTop="1" thickBot="1" x14ac:dyDescent="0.4">
      <c r="B17" s="3"/>
      <c r="C17" s="7" t="s">
        <v>29</v>
      </c>
      <c r="D17" s="50">
        <f>'Output-based engagement budget'!G71</f>
        <v>11010480</v>
      </c>
      <c r="E17" s="61">
        <f>'Output-based engagement budget'!I71</f>
        <v>2301080</v>
      </c>
      <c r="F17" s="86">
        <f>F30+F43+F56+F69</f>
        <v>2323993</v>
      </c>
      <c r="G17" s="50">
        <f>E17-F17</f>
        <v>-22913</v>
      </c>
      <c r="H17" s="87">
        <f>G17/E17</f>
        <v>-9.9574982182279621E-3</v>
      </c>
      <c r="I17" s="88" t="s">
        <v>100</v>
      </c>
      <c r="J17" s="51">
        <f>'Output-based engagement budget'!H20+'Budget monitoring Year 1 Q3+Q4'!F17</f>
        <v>4940073</v>
      </c>
      <c r="K17" s="51">
        <f>D17-J17</f>
        <v>6070407</v>
      </c>
      <c r="L17" s="82">
        <f>J17/D17</f>
        <v>0.44867008522789198</v>
      </c>
      <c r="M17" s="60">
        <f t="shared" ref="M17" si="0">M30+M43+M56+M61</f>
        <v>0</v>
      </c>
      <c r="N17" s="62"/>
      <c r="O17" s="6"/>
    </row>
    <row r="18" spans="2:15" ht="6" customHeight="1" thickTop="1" x14ac:dyDescent="0.35">
      <c r="B18" s="3"/>
      <c r="D18" s="5"/>
      <c r="G18" s="5"/>
      <c r="I18" s="89"/>
      <c r="N18" s="3"/>
    </row>
    <row r="19" spans="2:15" ht="15" outlineLevel="1" thickBot="1" x14ac:dyDescent="0.4">
      <c r="B19" s="3"/>
      <c r="C19" s="15" t="s">
        <v>2</v>
      </c>
      <c r="D19" s="16"/>
      <c r="E19" s="16"/>
      <c r="F19" s="16"/>
      <c r="G19" s="16"/>
      <c r="H19" s="16"/>
      <c r="I19" s="90"/>
      <c r="J19" s="16"/>
      <c r="K19" s="16"/>
      <c r="L19" s="16"/>
      <c r="M19" s="17"/>
      <c r="N19" s="71"/>
    </row>
    <row r="20" spans="2:15" ht="15" outlineLevel="1" thickTop="1" x14ac:dyDescent="0.35">
      <c r="B20" s="3"/>
      <c r="C20" s="29" t="s">
        <v>3</v>
      </c>
      <c r="D20" s="35">
        <f>'Output-based engagement budget'!G23</f>
        <v>1080000</v>
      </c>
      <c r="E20" s="35">
        <f>'Output-based engagement budget'!I23</f>
        <v>180000</v>
      </c>
      <c r="F20" s="78">
        <v>230000</v>
      </c>
      <c r="G20" s="35">
        <f>E20-F20</f>
        <v>-50000</v>
      </c>
      <c r="H20" s="104">
        <f>G20/E20</f>
        <v>-0.27777777777777779</v>
      </c>
      <c r="I20" s="92" t="s">
        <v>102</v>
      </c>
      <c r="J20" s="117">
        <f>F20+'Budget monitoring Year 1 Q1-Q2'!J20</f>
        <v>380000</v>
      </c>
      <c r="K20" s="83">
        <f t="shared" ref="K20:K27" si="1">D20-J20</f>
        <v>700000</v>
      </c>
      <c r="L20" s="108">
        <f t="shared" ref="L20:L26" si="2">J20/D20</f>
        <v>0.35185185185185186</v>
      </c>
      <c r="M20" s="20"/>
      <c r="N20" s="62"/>
      <c r="O20" s="6"/>
    </row>
    <row r="21" spans="2:15" outlineLevel="1" x14ac:dyDescent="0.35">
      <c r="B21" s="3"/>
      <c r="C21" s="30" t="s">
        <v>4</v>
      </c>
      <c r="D21" s="36">
        <f>'Output-based engagement budget'!G24</f>
        <v>250000</v>
      </c>
      <c r="E21" s="36">
        <f>'Output-based engagement budget'!I24</f>
        <v>50000</v>
      </c>
      <c r="F21" s="79">
        <v>100000</v>
      </c>
      <c r="G21" s="36">
        <f>E21-F21</f>
        <v>-50000</v>
      </c>
      <c r="H21" s="104">
        <f>G21/E21</f>
        <v>-1</v>
      </c>
      <c r="I21" s="92" t="s">
        <v>68</v>
      </c>
      <c r="J21" s="110">
        <f>F21+'Budget monitoring Year 1 Q1-Q2'!J21</f>
        <v>100000</v>
      </c>
      <c r="K21" s="20">
        <f t="shared" si="1"/>
        <v>150000</v>
      </c>
      <c r="L21" s="113">
        <f t="shared" si="2"/>
        <v>0.4</v>
      </c>
      <c r="M21" s="20"/>
      <c r="N21" s="62"/>
      <c r="O21" s="6"/>
    </row>
    <row r="22" spans="2:15" outlineLevel="1" x14ac:dyDescent="0.35">
      <c r="B22" s="3"/>
      <c r="C22" s="30" t="s">
        <v>21</v>
      </c>
      <c r="D22" s="36">
        <f>'Output-based engagement budget'!G25</f>
        <v>245000</v>
      </c>
      <c r="E22" s="36">
        <f>'Output-based engagement budget'!I25</f>
        <v>70000</v>
      </c>
      <c r="F22" s="79">
        <v>35000</v>
      </c>
      <c r="G22" s="36">
        <f t="shared" ref="G22:G26" si="3">E22-F22</f>
        <v>35000</v>
      </c>
      <c r="H22" s="104">
        <f>G22/E22</f>
        <v>0.5</v>
      </c>
      <c r="I22" s="92" t="s">
        <v>71</v>
      </c>
      <c r="J22" s="110">
        <f>F22+'Budget monitoring Year 1 Q1-Q2'!J22</f>
        <v>70000</v>
      </c>
      <c r="K22" s="20">
        <f t="shared" si="1"/>
        <v>175000</v>
      </c>
      <c r="L22" s="113">
        <f t="shared" si="2"/>
        <v>0.2857142857142857</v>
      </c>
      <c r="M22" s="20"/>
      <c r="N22" s="62"/>
      <c r="O22" s="6"/>
    </row>
    <row r="23" spans="2:15" outlineLevel="1" x14ac:dyDescent="0.35">
      <c r="B23" s="3"/>
      <c r="C23" s="30" t="s">
        <v>22</v>
      </c>
      <c r="D23" s="36">
        <f>'Output-based engagement budget'!G26</f>
        <v>150000</v>
      </c>
      <c r="E23" s="36">
        <f>'Output-based engagement budget'!I26</f>
        <v>0</v>
      </c>
      <c r="F23" s="79">
        <v>0</v>
      </c>
      <c r="G23" s="36">
        <f t="shared" si="3"/>
        <v>0</v>
      </c>
      <c r="H23" s="104">
        <v>0</v>
      </c>
      <c r="I23" s="93"/>
      <c r="J23" s="110">
        <f>F23+'Budget monitoring Year 1 Q1-Q2'!J23</f>
        <v>150000</v>
      </c>
      <c r="K23" s="20">
        <f t="shared" si="1"/>
        <v>0</v>
      </c>
      <c r="L23" s="113">
        <f t="shared" si="2"/>
        <v>1</v>
      </c>
      <c r="M23" s="20"/>
      <c r="N23" s="62"/>
      <c r="O23" s="6"/>
    </row>
    <row r="24" spans="2:15" outlineLevel="1" x14ac:dyDescent="0.35">
      <c r="B24" s="3"/>
      <c r="C24" s="30" t="s">
        <v>5</v>
      </c>
      <c r="D24" s="36">
        <f>'Output-based engagement budget'!G27</f>
        <v>900000</v>
      </c>
      <c r="E24" s="36">
        <f>'Output-based engagement budget'!I27</f>
        <v>150000</v>
      </c>
      <c r="F24" s="79">
        <v>150000</v>
      </c>
      <c r="G24" s="36">
        <f t="shared" si="3"/>
        <v>0</v>
      </c>
      <c r="H24" s="104">
        <f t="shared" ref="H24:H26" si="4">G24/E24</f>
        <v>0</v>
      </c>
      <c r="I24" s="92"/>
      <c r="J24" s="110">
        <f>F24+'Budget monitoring Year 1 Q1-Q2'!J24</f>
        <v>225000</v>
      </c>
      <c r="K24" s="20">
        <f t="shared" si="1"/>
        <v>675000</v>
      </c>
      <c r="L24" s="113">
        <f t="shared" si="2"/>
        <v>0.25</v>
      </c>
      <c r="M24" s="20"/>
      <c r="N24" s="62"/>
      <c r="O24" s="6"/>
    </row>
    <row r="25" spans="2:15" outlineLevel="1" x14ac:dyDescent="0.35">
      <c r="B25" s="3"/>
      <c r="C25" s="30" t="s">
        <v>7</v>
      </c>
      <c r="D25" s="36">
        <f>'Output-based engagement budget'!G28</f>
        <v>360000</v>
      </c>
      <c r="E25" s="36">
        <f>'Output-based engagement budget'!I28</f>
        <v>120000</v>
      </c>
      <c r="F25" s="79">
        <v>120000</v>
      </c>
      <c r="G25" s="36">
        <f t="shared" si="3"/>
        <v>0</v>
      </c>
      <c r="H25" s="104">
        <f t="shared" si="4"/>
        <v>0</v>
      </c>
      <c r="I25" s="92"/>
      <c r="J25" s="110">
        <f>F25+'Budget monitoring Year 1 Q1-Q2'!J25</f>
        <v>120000</v>
      </c>
      <c r="K25" s="20">
        <f t="shared" si="1"/>
        <v>240000</v>
      </c>
      <c r="L25" s="113">
        <f t="shared" si="2"/>
        <v>0.33333333333333331</v>
      </c>
      <c r="M25" s="20"/>
      <c r="N25" s="62"/>
      <c r="O25" s="6"/>
    </row>
    <row r="26" spans="2:15" outlineLevel="1" x14ac:dyDescent="0.35">
      <c r="B26" s="3"/>
      <c r="C26" s="30" t="s">
        <v>8</v>
      </c>
      <c r="D26" s="36">
        <f>'Output-based engagement budget'!G29</f>
        <v>360000</v>
      </c>
      <c r="E26" s="36">
        <f>'Output-based engagement budget'!I29</f>
        <v>180000</v>
      </c>
      <c r="F26" s="79">
        <v>180000</v>
      </c>
      <c r="G26" s="36">
        <f t="shared" si="3"/>
        <v>0</v>
      </c>
      <c r="H26" s="104">
        <f t="shared" si="4"/>
        <v>0</v>
      </c>
      <c r="I26" s="93"/>
      <c r="J26" s="110">
        <f>F26+'Budget monitoring Year 1 Q1-Q2'!J26</f>
        <v>360000</v>
      </c>
      <c r="K26" s="20">
        <f t="shared" si="1"/>
        <v>0</v>
      </c>
      <c r="L26" s="113">
        <f t="shared" si="2"/>
        <v>1</v>
      </c>
      <c r="M26" s="20"/>
      <c r="N26" s="62"/>
      <c r="O26" s="6"/>
    </row>
    <row r="27" spans="2:15" outlineLevel="1" x14ac:dyDescent="0.35">
      <c r="B27" s="3"/>
      <c r="C27" s="30" t="s">
        <v>23</v>
      </c>
      <c r="D27" s="36">
        <f>'Output-based engagement budget'!G30</f>
        <v>0</v>
      </c>
      <c r="E27" s="36">
        <f>'Output-based engagement budget'!I30</f>
        <v>0</v>
      </c>
      <c r="F27" s="80">
        <v>0</v>
      </c>
      <c r="G27" s="37">
        <f>E27-F27</f>
        <v>0</v>
      </c>
      <c r="H27" s="104">
        <v>0</v>
      </c>
      <c r="I27" s="94"/>
      <c r="J27" s="110">
        <f>F27+'Budget monitoring Year 1 Q1-Q2'!J27</f>
        <v>0</v>
      </c>
      <c r="K27" s="20">
        <f t="shared" si="1"/>
        <v>0</v>
      </c>
      <c r="L27" s="114">
        <v>0</v>
      </c>
      <c r="M27" s="21"/>
      <c r="N27" s="62"/>
      <c r="O27" s="6"/>
    </row>
    <row r="28" spans="2:15" outlineLevel="1" x14ac:dyDescent="0.35">
      <c r="B28" s="3"/>
      <c r="C28" s="31" t="s">
        <v>28</v>
      </c>
      <c r="D28" s="63">
        <f>'Output-based engagement budget'!G31</f>
        <v>3345000</v>
      </c>
      <c r="E28" s="102">
        <f>SUM(E20:E27)</f>
        <v>750000</v>
      </c>
      <c r="F28" s="81">
        <f>SUM(F20:F27)</f>
        <v>815000</v>
      </c>
      <c r="G28" s="63">
        <f>SUM(G20:G27)</f>
        <v>-65000</v>
      </c>
      <c r="H28" s="105">
        <f>G28/E28</f>
        <v>-8.666666666666667E-2</v>
      </c>
      <c r="I28" s="95"/>
      <c r="J28" s="109">
        <f>SUM(J20:J27)</f>
        <v>1405000</v>
      </c>
      <c r="K28" s="65">
        <f>SUM(K20:K27)</f>
        <v>1940000</v>
      </c>
      <c r="L28" s="115">
        <f>J28/D28</f>
        <v>0.42002989536621821</v>
      </c>
      <c r="M28" s="65">
        <f>SUM(M20:M27)</f>
        <v>0</v>
      </c>
      <c r="N28" s="62"/>
      <c r="O28" s="6"/>
    </row>
    <row r="29" spans="2:15" ht="15" outlineLevel="1" thickBot="1" x14ac:dyDescent="0.4">
      <c r="B29" s="3"/>
      <c r="C29" s="32" t="s">
        <v>27</v>
      </c>
      <c r="D29" s="66">
        <f>'Output-based engagement budget'!G32</f>
        <v>474320</v>
      </c>
      <c r="E29" s="66">
        <f>'Output-based engagement budget'!I32</f>
        <v>79053.333333333328</v>
      </c>
      <c r="F29" s="75">
        <f>F68/3*2</f>
        <v>99395.333333333328</v>
      </c>
      <c r="G29" s="66">
        <f>E29-F29</f>
        <v>-20342</v>
      </c>
      <c r="H29" s="106">
        <f>G29/E29</f>
        <v>-0.25731995277449826</v>
      </c>
      <c r="I29" s="96"/>
      <c r="J29" s="109">
        <f>F29</f>
        <v>99395.333333333328</v>
      </c>
      <c r="K29" s="67">
        <f>D29-J29</f>
        <v>374924.66666666669</v>
      </c>
      <c r="L29" s="115">
        <f>J29/D29</f>
        <v>0.20955332546241637</v>
      </c>
      <c r="M29" s="67"/>
      <c r="N29" s="62"/>
      <c r="O29" s="6"/>
    </row>
    <row r="30" spans="2:15" ht="15" thickTop="1" x14ac:dyDescent="0.35">
      <c r="B30" s="3"/>
      <c r="C30" s="23" t="s">
        <v>54</v>
      </c>
      <c r="D30" s="47">
        <f>'Output-based engagement budget'!G33</f>
        <v>3819320</v>
      </c>
      <c r="E30" s="47">
        <f>E28+E29</f>
        <v>829053.33333333337</v>
      </c>
      <c r="F30" s="58">
        <f>F28+F29</f>
        <v>914395.33333333337</v>
      </c>
      <c r="G30" s="47">
        <f>G28-G29</f>
        <v>-44658</v>
      </c>
      <c r="H30" s="107">
        <f>G30/E30</f>
        <v>-5.3866257096447351E-2</v>
      </c>
      <c r="I30" s="97">
        <f t="shared" ref="I30:K30" si="5">SUM(I28:I29)</f>
        <v>0</v>
      </c>
      <c r="J30" s="118">
        <f>SUM(J28:J29)</f>
        <v>1504395.3333333333</v>
      </c>
      <c r="K30" s="26">
        <f t="shared" si="5"/>
        <v>2314924.6666666665</v>
      </c>
      <c r="L30" s="116">
        <f>J30/D30</f>
        <v>0.3938908845902761</v>
      </c>
      <c r="M30" s="26">
        <f>M28+M29</f>
        <v>0</v>
      </c>
      <c r="N30" s="72"/>
      <c r="O30" s="6"/>
    </row>
    <row r="31" spans="2:15" ht="6" customHeight="1" x14ac:dyDescent="0.35">
      <c r="B31" s="3"/>
      <c r="C31" s="3"/>
      <c r="D31" s="73"/>
      <c r="E31" s="3"/>
      <c r="F31" s="3"/>
      <c r="G31" s="73"/>
      <c r="H31" s="3"/>
      <c r="I31" s="98"/>
      <c r="J31" s="3"/>
      <c r="K31" s="3"/>
      <c r="L31" s="3"/>
      <c r="M31" s="3"/>
      <c r="N31" s="3"/>
    </row>
    <row r="32" spans="2:15" ht="15" outlineLevel="1" thickBot="1" x14ac:dyDescent="0.4">
      <c r="B32" s="3"/>
      <c r="C32" s="15" t="s">
        <v>9</v>
      </c>
      <c r="D32" s="16"/>
      <c r="E32" s="16"/>
      <c r="F32" s="16"/>
      <c r="G32" s="16"/>
      <c r="H32" s="16"/>
      <c r="I32" s="90"/>
      <c r="J32" s="16"/>
      <c r="K32" s="16"/>
      <c r="L32" s="16"/>
      <c r="M32" s="17"/>
      <c r="N32" s="71"/>
    </row>
    <row r="33" spans="2:15" ht="15" outlineLevel="1" thickTop="1" x14ac:dyDescent="0.35">
      <c r="B33" s="3"/>
      <c r="C33" s="29" t="s">
        <v>3</v>
      </c>
      <c r="D33" s="35">
        <f>'Output-based engagement budget'!G36</f>
        <v>450000</v>
      </c>
      <c r="E33" s="35">
        <f>'Output-based engagement budget'!I36</f>
        <v>90000</v>
      </c>
      <c r="F33" s="78">
        <v>70000</v>
      </c>
      <c r="G33" s="36">
        <f>E33-F33</f>
        <v>20000</v>
      </c>
      <c r="H33" s="103">
        <f>G33/E33</f>
        <v>0.22222222222222221</v>
      </c>
      <c r="I33" s="92" t="s">
        <v>103</v>
      </c>
      <c r="J33" s="117">
        <f>F33+'Budget monitoring Year 1 Q1-Q2'!J33</f>
        <v>160000</v>
      </c>
      <c r="K33" s="83">
        <f t="shared" ref="K33:K40" si="6">D33-J33</f>
        <v>290000</v>
      </c>
      <c r="L33" s="108">
        <f t="shared" ref="L33:L43" si="7">J33/D33</f>
        <v>0.35555555555555557</v>
      </c>
      <c r="M33" s="20"/>
      <c r="N33" s="62"/>
      <c r="O33" s="6"/>
    </row>
    <row r="34" spans="2:15" outlineLevel="1" x14ac:dyDescent="0.35">
      <c r="B34" s="3"/>
      <c r="C34" s="30" t="s">
        <v>4</v>
      </c>
      <c r="D34" s="36">
        <f>'Output-based engagement budget'!G37</f>
        <v>200000</v>
      </c>
      <c r="E34" s="36">
        <f>'Output-based engagement budget'!I37</f>
        <v>100000</v>
      </c>
      <c r="F34" s="79">
        <v>80000</v>
      </c>
      <c r="G34" s="36">
        <f>E34-F34</f>
        <v>20000</v>
      </c>
      <c r="H34" s="104">
        <f>G34/E34</f>
        <v>0.2</v>
      </c>
      <c r="I34" s="92" t="s">
        <v>103</v>
      </c>
      <c r="J34" s="110">
        <f>F34+'Budget monitoring Year 1 Q1-Q2'!J34</f>
        <v>80000</v>
      </c>
      <c r="K34" s="20">
        <f t="shared" si="6"/>
        <v>120000</v>
      </c>
      <c r="L34" s="113">
        <f t="shared" si="7"/>
        <v>0.4</v>
      </c>
      <c r="M34" s="20"/>
      <c r="N34" s="62"/>
      <c r="O34" s="6"/>
    </row>
    <row r="35" spans="2:15" outlineLevel="1" x14ac:dyDescent="0.35">
      <c r="B35" s="3"/>
      <c r="C35" s="30" t="s">
        <v>21</v>
      </c>
      <c r="D35" s="156">
        <f>'Output-based engagement budget'!G38</f>
        <v>550000</v>
      </c>
      <c r="E35" s="36">
        <f>'Output-based engagement budget'!I38</f>
        <v>150000</v>
      </c>
      <c r="F35" s="79">
        <v>150000</v>
      </c>
      <c r="G35" s="36">
        <f t="shared" ref="G35:G42" si="8">E35-F35</f>
        <v>0</v>
      </c>
      <c r="H35" s="104">
        <f t="shared" ref="H35:H40" si="9">G35/E35</f>
        <v>0</v>
      </c>
      <c r="I35" s="92"/>
      <c r="J35" s="110">
        <f>F35+'Budget monitoring Year 1 Q1-Q2'!J35</f>
        <v>250000</v>
      </c>
      <c r="K35" s="20">
        <f t="shared" si="6"/>
        <v>300000</v>
      </c>
      <c r="L35" s="113">
        <f t="shared" si="7"/>
        <v>0.45454545454545453</v>
      </c>
      <c r="M35" s="20"/>
      <c r="N35" s="62"/>
      <c r="O35" s="6"/>
    </row>
    <row r="36" spans="2:15" outlineLevel="1" x14ac:dyDescent="0.35">
      <c r="B36" s="3"/>
      <c r="C36" s="30" t="s">
        <v>22</v>
      </c>
      <c r="D36" s="36">
        <f>'Output-based engagement budget'!G39</f>
        <v>500000</v>
      </c>
      <c r="E36" s="36">
        <f>'Output-based engagement budget'!I39</f>
        <v>0</v>
      </c>
      <c r="F36" s="79">
        <v>0</v>
      </c>
      <c r="G36" s="36">
        <f t="shared" si="8"/>
        <v>0</v>
      </c>
      <c r="H36" s="104">
        <v>0</v>
      </c>
      <c r="I36" s="92"/>
      <c r="J36" s="110">
        <f>F36+'Budget monitoring Year 1 Q1-Q2'!J36</f>
        <v>500000</v>
      </c>
      <c r="K36" s="20">
        <f t="shared" si="6"/>
        <v>0</v>
      </c>
      <c r="L36" s="113">
        <f t="shared" si="7"/>
        <v>1</v>
      </c>
      <c r="M36" s="20"/>
      <c r="N36" s="62"/>
      <c r="O36" s="6"/>
    </row>
    <row r="37" spans="2:15" outlineLevel="1" x14ac:dyDescent="0.35">
      <c r="B37" s="3"/>
      <c r="C37" s="30" t="s">
        <v>5</v>
      </c>
      <c r="D37" s="36">
        <f>'Output-based engagement budget'!G40</f>
        <v>1260000</v>
      </c>
      <c r="E37" s="36">
        <f>'Output-based engagement budget'!I40</f>
        <v>210000</v>
      </c>
      <c r="F37" s="79">
        <v>199000</v>
      </c>
      <c r="G37" s="36">
        <f t="shared" si="8"/>
        <v>11000</v>
      </c>
      <c r="H37" s="104">
        <f t="shared" si="9"/>
        <v>5.2380952380952382E-2</v>
      </c>
      <c r="I37" s="92"/>
      <c r="J37" s="110">
        <f>F37+'Budget monitoring Year 1 Q1-Q2'!J37</f>
        <v>409000</v>
      </c>
      <c r="K37" s="20">
        <f t="shared" si="6"/>
        <v>851000</v>
      </c>
      <c r="L37" s="113">
        <f t="shared" si="7"/>
        <v>0.32460317460317462</v>
      </c>
      <c r="M37" s="20"/>
      <c r="N37" s="62"/>
      <c r="O37" s="6"/>
    </row>
    <row r="38" spans="2:15" outlineLevel="1" x14ac:dyDescent="0.35">
      <c r="B38" s="3"/>
      <c r="C38" s="30" t="s">
        <v>7</v>
      </c>
      <c r="D38" s="36">
        <f>'Output-based engagement budget'!G41</f>
        <v>1260000</v>
      </c>
      <c r="E38" s="36">
        <f>'Output-based engagement budget'!I41</f>
        <v>210000</v>
      </c>
      <c r="F38" s="79">
        <v>199000</v>
      </c>
      <c r="G38" s="36">
        <f t="shared" si="8"/>
        <v>11000</v>
      </c>
      <c r="H38" s="104">
        <f t="shared" si="9"/>
        <v>5.2380952380952382E-2</v>
      </c>
      <c r="I38" s="92"/>
      <c r="J38" s="110">
        <f>F38+'Budget monitoring Year 1 Q1-Q2'!J38</f>
        <v>356500</v>
      </c>
      <c r="K38" s="20">
        <f t="shared" si="6"/>
        <v>903500</v>
      </c>
      <c r="L38" s="113">
        <f t="shared" si="7"/>
        <v>0.28293650793650793</v>
      </c>
      <c r="M38" s="20"/>
      <c r="N38" s="62"/>
      <c r="O38" s="6"/>
    </row>
    <row r="39" spans="2:15" outlineLevel="1" x14ac:dyDescent="0.35">
      <c r="B39" s="3"/>
      <c r="C39" s="30" t="s">
        <v>8</v>
      </c>
      <c r="D39" s="36">
        <f>'Output-based engagement budget'!G42</f>
        <v>480000</v>
      </c>
      <c r="E39" s="36">
        <f>'Output-based engagement budget'!I42</f>
        <v>120000</v>
      </c>
      <c r="F39" s="79">
        <v>110000</v>
      </c>
      <c r="G39" s="36">
        <f t="shared" si="8"/>
        <v>10000</v>
      </c>
      <c r="H39" s="104">
        <f t="shared" si="9"/>
        <v>8.3333333333333329E-2</v>
      </c>
      <c r="I39" s="92"/>
      <c r="J39" s="110">
        <f>F39+'Budget monitoring Year 1 Q1-Q2'!J39</f>
        <v>230000</v>
      </c>
      <c r="K39" s="20">
        <f t="shared" si="6"/>
        <v>250000</v>
      </c>
      <c r="L39" s="113">
        <f t="shared" si="7"/>
        <v>0.47916666666666669</v>
      </c>
      <c r="M39" s="20"/>
      <c r="N39" s="62"/>
      <c r="O39" s="6"/>
    </row>
    <row r="40" spans="2:15" outlineLevel="1" x14ac:dyDescent="0.35">
      <c r="B40" s="3"/>
      <c r="C40" s="30" t="s">
        <v>23</v>
      </c>
      <c r="D40" s="36">
        <f>'Output-based engagement budget'!G43</f>
        <v>250000</v>
      </c>
      <c r="E40" s="36">
        <f>'Output-based engagement budget'!I43</f>
        <v>125000</v>
      </c>
      <c r="F40" s="80">
        <v>125000</v>
      </c>
      <c r="G40" s="36">
        <f t="shared" si="8"/>
        <v>0</v>
      </c>
      <c r="H40" s="104">
        <f t="shared" si="9"/>
        <v>0</v>
      </c>
      <c r="I40" s="94"/>
      <c r="J40" s="110">
        <f>F40+'Budget monitoring Year 1 Q1-Q2'!J40</f>
        <v>125000</v>
      </c>
      <c r="K40" s="20">
        <f t="shared" si="6"/>
        <v>125000</v>
      </c>
      <c r="L40" s="114">
        <f t="shared" si="7"/>
        <v>0.5</v>
      </c>
      <c r="M40" s="21"/>
      <c r="N40" s="62"/>
      <c r="O40" s="6"/>
    </row>
    <row r="41" spans="2:15" outlineLevel="1" x14ac:dyDescent="0.35">
      <c r="B41" s="3"/>
      <c r="C41" s="31" t="s">
        <v>26</v>
      </c>
      <c r="D41" s="63">
        <f>'Output-based engagement budget'!G44</f>
        <v>4950000</v>
      </c>
      <c r="E41" s="102">
        <f>SUM(E33:E40)</f>
        <v>1005000</v>
      </c>
      <c r="F41" s="81">
        <f>SUM(F33:F40)</f>
        <v>933000</v>
      </c>
      <c r="G41" s="63">
        <f>SUM(G33:G40)</f>
        <v>72000</v>
      </c>
      <c r="H41" s="206">
        <f>G41/E41</f>
        <v>7.1641791044776124E-2</v>
      </c>
      <c r="I41" s="95"/>
      <c r="J41" s="109">
        <f>SUM(J33:J40)</f>
        <v>2110500</v>
      </c>
      <c r="K41" s="65">
        <f>SUM(K33:K40)</f>
        <v>2839500</v>
      </c>
      <c r="L41" s="115">
        <f t="shared" si="7"/>
        <v>0.42636363636363639</v>
      </c>
      <c r="M41" s="65">
        <f>SUM(M33:M40)</f>
        <v>0</v>
      </c>
      <c r="N41" s="62"/>
      <c r="O41" s="6"/>
    </row>
    <row r="42" spans="2:15" ht="15" outlineLevel="1" thickBot="1" x14ac:dyDescent="0.4">
      <c r="B42" s="3"/>
      <c r="C42" s="32" t="s">
        <v>34</v>
      </c>
      <c r="D42" s="66">
        <f>'Output-based engagement budget'!G45</f>
        <v>237160</v>
      </c>
      <c r="E42" s="66">
        <f>'Output-based engagement budget'!H45</f>
        <v>39526.666666666664</v>
      </c>
      <c r="F42" s="66">
        <f>F68/3*1</f>
        <v>49697.666666666664</v>
      </c>
      <c r="G42" s="66">
        <f t="shared" si="8"/>
        <v>-10171</v>
      </c>
      <c r="H42" s="208">
        <f>G42/E42</f>
        <v>-0.25731995277449826</v>
      </c>
      <c r="I42" s="66"/>
      <c r="J42" s="66">
        <f>F42</f>
        <v>49697.666666666664</v>
      </c>
      <c r="K42" s="66">
        <f>D42-J42</f>
        <v>187462.33333333334</v>
      </c>
      <c r="L42" s="115">
        <f t="shared" si="7"/>
        <v>0.20955332546241637</v>
      </c>
      <c r="M42" s="67"/>
      <c r="N42" s="62"/>
      <c r="O42" s="6"/>
    </row>
    <row r="43" spans="2:15" ht="15" thickTop="1" x14ac:dyDescent="0.35">
      <c r="B43" s="3"/>
      <c r="C43" s="23" t="s">
        <v>35</v>
      </c>
      <c r="D43" s="47">
        <f>'Output-based engagement budget'!G46</f>
        <v>5187160</v>
      </c>
      <c r="E43" s="47">
        <f>E41+E42</f>
        <v>1044526.6666666666</v>
      </c>
      <c r="F43" s="47">
        <f>F41+F42</f>
        <v>982697.66666666663</v>
      </c>
      <c r="G43" s="47">
        <f>E43-F43</f>
        <v>61829</v>
      </c>
      <c r="H43" s="107">
        <f>G43/E43</f>
        <v>5.9193318823837278E-2</v>
      </c>
      <c r="I43" s="97" t="s">
        <v>103</v>
      </c>
      <c r="J43" s="118">
        <f>SUM(J41:J42)</f>
        <v>2160197.6666666665</v>
      </c>
      <c r="K43" s="26">
        <f t="shared" ref="K43" si="10">SUM(K41:K42)</f>
        <v>3026962.3333333335</v>
      </c>
      <c r="L43" s="116">
        <f t="shared" si="7"/>
        <v>0.41645094168420993</v>
      </c>
      <c r="M43" s="26">
        <f>M41+M42</f>
        <v>0</v>
      </c>
      <c r="N43" s="71"/>
      <c r="O43" s="6"/>
    </row>
    <row r="44" spans="2:15" ht="6.65" customHeight="1" x14ac:dyDescent="0.35">
      <c r="B44" s="3"/>
      <c r="C44" s="3"/>
      <c r="D44" s="73"/>
      <c r="E44" s="3"/>
      <c r="F44" s="3"/>
      <c r="G44" s="73"/>
      <c r="H44" s="3"/>
      <c r="I44" s="98"/>
      <c r="J44" s="3"/>
      <c r="K44" s="3"/>
      <c r="L44" s="3"/>
      <c r="M44" s="3"/>
      <c r="N44" s="3"/>
    </row>
    <row r="45" spans="2:15" ht="15" outlineLevel="1" thickBot="1" x14ac:dyDescent="0.4">
      <c r="B45" s="3"/>
      <c r="C45" s="15" t="s">
        <v>10</v>
      </c>
      <c r="D45" s="16"/>
      <c r="E45" s="16"/>
      <c r="F45" s="16"/>
      <c r="G45" s="16"/>
      <c r="H45" s="16"/>
      <c r="I45" s="90"/>
      <c r="J45" s="16"/>
      <c r="K45" s="16"/>
      <c r="L45" s="16"/>
      <c r="M45" s="17"/>
      <c r="N45" s="71"/>
    </row>
    <row r="46" spans="2:15" ht="15" outlineLevel="1" thickTop="1" x14ac:dyDescent="0.35">
      <c r="B46" s="3"/>
      <c r="C46" s="29" t="s">
        <v>3</v>
      </c>
      <c r="D46" s="35">
        <f>'Output-based engagement budget'!G49</f>
        <v>75000</v>
      </c>
      <c r="E46" s="35">
        <f>'Output-based engagement budget'!I49</f>
        <v>0</v>
      </c>
      <c r="F46" s="18">
        <v>0</v>
      </c>
      <c r="G46" s="36">
        <f>E46-F46</f>
        <v>0</v>
      </c>
      <c r="H46" s="108">
        <v>0</v>
      </c>
      <c r="I46" s="91"/>
      <c r="J46" s="117">
        <f>F46+'Budget monitoring Year 1 Q1-Q2'!J46</f>
        <v>75000</v>
      </c>
      <c r="K46" s="83">
        <f t="shared" ref="K46:K53" si="11">D46-J46</f>
        <v>0</v>
      </c>
      <c r="L46" s="108">
        <f t="shared" ref="L46:L52" si="12">J46/D46</f>
        <v>1</v>
      </c>
      <c r="M46" s="20"/>
      <c r="N46" s="69"/>
      <c r="O46" s="6"/>
    </row>
    <row r="47" spans="2:15" outlineLevel="1" x14ac:dyDescent="0.35">
      <c r="B47" s="3"/>
      <c r="C47" s="30" t="s">
        <v>4</v>
      </c>
      <c r="D47" s="36">
        <f>'Output-based engagement budget'!G50</f>
        <v>30000</v>
      </c>
      <c r="E47" s="36">
        <f>'Output-based engagement budget'!I50</f>
        <v>15000</v>
      </c>
      <c r="F47" s="79">
        <v>14900</v>
      </c>
      <c r="G47" s="36">
        <f t="shared" ref="G47:G53" si="13">E47-F47</f>
        <v>100</v>
      </c>
      <c r="H47" s="104">
        <f>G47/E47</f>
        <v>6.6666666666666671E-3</v>
      </c>
      <c r="I47" s="92"/>
      <c r="J47" s="110">
        <f>F47+'Budget monitoring Year 1 Q1-Q2'!J47</f>
        <v>29800</v>
      </c>
      <c r="K47" s="20">
        <f t="shared" si="11"/>
        <v>200</v>
      </c>
      <c r="L47" s="113">
        <f t="shared" si="12"/>
        <v>0.99333333333333329</v>
      </c>
      <c r="M47" s="20"/>
      <c r="N47" s="69"/>
      <c r="O47" s="6"/>
    </row>
    <row r="48" spans="2:15" outlineLevel="1" x14ac:dyDescent="0.35">
      <c r="B48" s="3"/>
      <c r="C48" s="30" t="s">
        <v>21</v>
      </c>
      <c r="D48" s="36">
        <f>'Output-based engagement budget'!G51</f>
        <v>25000</v>
      </c>
      <c r="E48" s="36">
        <f>'Output-based engagement budget'!I51</f>
        <v>12500</v>
      </c>
      <c r="F48" s="79">
        <v>12000</v>
      </c>
      <c r="G48" s="36">
        <f t="shared" si="13"/>
        <v>500</v>
      </c>
      <c r="H48" s="104">
        <f t="shared" ref="H48:H52" si="14">G48/E48</f>
        <v>0.04</v>
      </c>
      <c r="I48" s="92"/>
      <c r="J48" s="110">
        <f>F48+'Budget monitoring Year 1 Q1-Q2'!J48</f>
        <v>24000</v>
      </c>
      <c r="K48" s="20">
        <f t="shared" si="11"/>
        <v>1000</v>
      </c>
      <c r="L48" s="113">
        <f t="shared" si="12"/>
        <v>0.96</v>
      </c>
      <c r="M48" s="20"/>
      <c r="N48" s="69"/>
      <c r="O48" s="6"/>
    </row>
    <row r="49" spans="2:15" outlineLevel="1" x14ac:dyDescent="0.35">
      <c r="B49" s="3"/>
      <c r="C49" s="30" t="s">
        <v>22</v>
      </c>
      <c r="D49" s="36">
        <f>'Output-based engagement budget'!G52</f>
        <v>160000</v>
      </c>
      <c r="E49" s="36">
        <f>'Output-based engagement budget'!I52</f>
        <v>80000</v>
      </c>
      <c r="F49" s="79">
        <v>84000</v>
      </c>
      <c r="G49" s="36">
        <f t="shared" si="13"/>
        <v>-4000</v>
      </c>
      <c r="H49" s="104">
        <f t="shared" si="14"/>
        <v>-0.05</v>
      </c>
      <c r="I49" s="92" t="s">
        <v>68</v>
      </c>
      <c r="J49" s="110">
        <f>F49+'Budget monitoring Year 1 Q1-Q2'!J49</f>
        <v>166000</v>
      </c>
      <c r="K49" s="20">
        <f t="shared" si="11"/>
        <v>-6000</v>
      </c>
      <c r="L49" s="113">
        <f t="shared" si="12"/>
        <v>1.0375000000000001</v>
      </c>
      <c r="M49" s="20"/>
      <c r="N49" s="69"/>
      <c r="O49" s="6"/>
    </row>
    <row r="50" spans="2:15" outlineLevel="1" x14ac:dyDescent="0.35">
      <c r="B50" s="3"/>
      <c r="C50" s="30" t="s">
        <v>5</v>
      </c>
      <c r="D50" s="36">
        <f>'Output-based engagement budget'!G53</f>
        <v>240000</v>
      </c>
      <c r="E50" s="36">
        <f>'Output-based engagement budget'!I53</f>
        <v>120000</v>
      </c>
      <c r="F50" s="79">
        <v>116000</v>
      </c>
      <c r="G50" s="36">
        <f t="shared" si="13"/>
        <v>4000</v>
      </c>
      <c r="H50" s="104">
        <f t="shared" si="14"/>
        <v>3.3333333333333333E-2</v>
      </c>
      <c r="I50" s="92" t="s">
        <v>106</v>
      </c>
      <c r="J50" s="110">
        <f>F50+'Budget monitoring Year 1 Q1-Q2'!J50</f>
        <v>188000</v>
      </c>
      <c r="K50" s="20">
        <f t="shared" si="11"/>
        <v>52000</v>
      </c>
      <c r="L50" s="113">
        <f t="shared" si="12"/>
        <v>0.78333333333333333</v>
      </c>
      <c r="M50" s="20"/>
      <c r="N50" s="69"/>
      <c r="O50" s="6"/>
    </row>
    <row r="51" spans="2:15" outlineLevel="1" x14ac:dyDescent="0.35">
      <c r="B51" s="3"/>
      <c r="C51" s="30" t="s">
        <v>7</v>
      </c>
      <c r="D51" s="36">
        <f>'Output-based engagement budget'!G54</f>
        <v>240000</v>
      </c>
      <c r="E51" s="36">
        <f>'Output-based engagement budget'!I54</f>
        <v>120000</v>
      </c>
      <c r="F51" s="79">
        <v>120000</v>
      </c>
      <c r="G51" s="36">
        <f t="shared" si="13"/>
        <v>0</v>
      </c>
      <c r="H51" s="104">
        <f t="shared" si="14"/>
        <v>0</v>
      </c>
      <c r="I51" s="92"/>
      <c r="J51" s="110">
        <f>F51+'Budget monitoring Year 1 Q1-Q2'!J51</f>
        <v>240000</v>
      </c>
      <c r="K51" s="20">
        <f t="shared" si="11"/>
        <v>0</v>
      </c>
      <c r="L51" s="113">
        <f t="shared" si="12"/>
        <v>1</v>
      </c>
      <c r="M51" s="20"/>
      <c r="N51" s="69"/>
      <c r="O51" s="6"/>
    </row>
    <row r="52" spans="2:15" outlineLevel="1" x14ac:dyDescent="0.35">
      <c r="B52" s="3"/>
      <c r="C52" s="30" t="s">
        <v>8</v>
      </c>
      <c r="D52" s="36">
        <f>'Output-based engagement budget'!G55</f>
        <v>175000</v>
      </c>
      <c r="E52" s="36">
        <f>'Output-based engagement budget'!I55</f>
        <v>35000</v>
      </c>
      <c r="F52" s="79">
        <v>35000</v>
      </c>
      <c r="G52" s="36">
        <f t="shared" si="13"/>
        <v>0</v>
      </c>
      <c r="H52" s="104">
        <f t="shared" si="14"/>
        <v>0</v>
      </c>
      <c r="I52" s="92"/>
      <c r="J52" s="110">
        <f>F52+'Budget monitoring Year 1 Q1-Q2'!J52</f>
        <v>175000</v>
      </c>
      <c r="K52" s="20">
        <f t="shared" si="11"/>
        <v>0</v>
      </c>
      <c r="L52" s="113">
        <f t="shared" si="12"/>
        <v>1</v>
      </c>
      <c r="M52" s="20"/>
      <c r="N52" s="69"/>
      <c r="O52" s="6"/>
    </row>
    <row r="53" spans="2:15" outlineLevel="1" x14ac:dyDescent="0.35">
      <c r="B53" s="3"/>
      <c r="C53" s="30" t="s">
        <v>23</v>
      </c>
      <c r="D53" s="37">
        <f>'Output-based engagement budget'!G56</f>
        <v>0</v>
      </c>
      <c r="E53" s="36">
        <f>'Output-based engagement budget'!I56</f>
        <v>0</v>
      </c>
      <c r="F53" s="80">
        <v>0</v>
      </c>
      <c r="G53" s="36">
        <f t="shared" si="13"/>
        <v>0</v>
      </c>
      <c r="H53" s="104">
        <v>0</v>
      </c>
      <c r="I53" s="94"/>
      <c r="J53" s="110">
        <f>F53+'Budget monitoring Year 1 Q1-Q2'!J53</f>
        <v>0</v>
      </c>
      <c r="K53" s="20">
        <f t="shared" si="11"/>
        <v>0</v>
      </c>
      <c r="L53" s="114">
        <v>0</v>
      </c>
      <c r="M53" s="21"/>
      <c r="N53" s="69"/>
      <c r="O53" s="6"/>
    </row>
    <row r="54" spans="2:15" outlineLevel="1" x14ac:dyDescent="0.35">
      <c r="B54" s="3"/>
      <c r="C54" s="31" t="s">
        <v>32</v>
      </c>
      <c r="D54" s="63">
        <f>'Output-based engagement budget'!G57</f>
        <v>945000</v>
      </c>
      <c r="E54" s="102">
        <f>SUM(E46:E53)</f>
        <v>382500</v>
      </c>
      <c r="F54" s="81">
        <f>SUM(F46:F53)</f>
        <v>381900</v>
      </c>
      <c r="G54" s="63">
        <f>SUM(G46:G53)</f>
        <v>600</v>
      </c>
      <c r="H54" s="206">
        <f>G54/E54</f>
        <v>1.5686274509803921E-3</v>
      </c>
      <c r="I54" s="95"/>
      <c r="J54" s="109">
        <f>SUM(J46:J53)</f>
        <v>897800</v>
      </c>
      <c r="K54" s="65">
        <f>SUM(K46:K53)</f>
        <v>47200</v>
      </c>
      <c r="L54" s="115">
        <f>J54/D54</f>
        <v>0.95005291005291004</v>
      </c>
      <c r="M54" s="65"/>
      <c r="N54" s="69"/>
      <c r="O54" s="6"/>
    </row>
    <row r="55" spans="2:15" ht="15" outlineLevel="1" thickBot="1" x14ac:dyDescent="0.4">
      <c r="B55" s="3"/>
      <c r="C55" s="32" t="s">
        <v>33</v>
      </c>
      <c r="D55" s="66">
        <v>0</v>
      </c>
      <c r="E55" s="66">
        <v>0</v>
      </c>
      <c r="F55" s="66">
        <f>F81/3*0</f>
        <v>0</v>
      </c>
      <c r="G55" s="66">
        <v>0</v>
      </c>
      <c r="H55" s="66">
        <f>$G$55/5</f>
        <v>0</v>
      </c>
      <c r="I55" s="66"/>
      <c r="J55" s="66">
        <f>'Output-based engagement budget'!H58+'Budget monitoring Year 1 Q3+Q4'!F55</f>
        <v>0</v>
      </c>
      <c r="K55" s="66">
        <f>D55-J55</f>
        <v>0</v>
      </c>
      <c r="L55" s="115">
        <v>0</v>
      </c>
      <c r="M55" s="67"/>
      <c r="N55" s="69"/>
      <c r="O55" s="6"/>
    </row>
    <row r="56" spans="2:15" ht="15" thickTop="1" x14ac:dyDescent="0.35">
      <c r="B56" s="3"/>
      <c r="C56" s="23" t="s">
        <v>31</v>
      </c>
      <c r="D56" s="47">
        <v>945000</v>
      </c>
      <c r="E56" s="47">
        <f>E54+E55</f>
        <v>382500</v>
      </c>
      <c r="F56" s="48">
        <f>F54+F55</f>
        <v>381900</v>
      </c>
      <c r="G56" s="47">
        <f>E56-F56</f>
        <v>600</v>
      </c>
      <c r="H56" s="107">
        <f>G56/E56</f>
        <v>1.5686274509803921E-3</v>
      </c>
      <c r="I56" s="97"/>
      <c r="J56" s="118">
        <f>SUM(J54:J55)</f>
        <v>897800</v>
      </c>
      <c r="K56" s="26">
        <f t="shared" ref="K56" si="15">SUM(K54:K55)</f>
        <v>47200</v>
      </c>
      <c r="L56" s="116">
        <f>J56/D56</f>
        <v>0.95005291005291004</v>
      </c>
      <c r="M56" s="26"/>
      <c r="N56" s="71"/>
      <c r="O56" s="6"/>
    </row>
    <row r="57" spans="2:15" ht="6" customHeight="1" x14ac:dyDescent="0.35">
      <c r="B57" s="3"/>
      <c r="C57" s="3"/>
      <c r="D57" s="73"/>
      <c r="E57" s="3"/>
      <c r="F57" s="3"/>
      <c r="G57" s="73"/>
      <c r="H57" s="3"/>
      <c r="I57" s="98"/>
      <c r="J57" s="3"/>
      <c r="K57" s="3"/>
      <c r="L57" s="3"/>
      <c r="M57" s="3"/>
      <c r="N57" s="3"/>
      <c r="O57" s="6"/>
    </row>
    <row r="58" spans="2:15" ht="15" hidden="1" outlineLevel="1" thickBot="1" x14ac:dyDescent="0.4">
      <c r="B58" s="3"/>
      <c r="C58" s="15" t="s">
        <v>24</v>
      </c>
      <c r="D58" s="27"/>
      <c r="E58" s="16"/>
      <c r="F58" s="16"/>
      <c r="G58" s="27"/>
      <c r="H58" s="16"/>
      <c r="I58" s="90"/>
      <c r="J58" s="16"/>
      <c r="K58" s="16"/>
      <c r="L58" s="16"/>
      <c r="M58" s="17"/>
      <c r="N58" s="71"/>
      <c r="O58" s="6"/>
    </row>
    <row r="59" spans="2:15" ht="15" hidden="1" outlineLevel="1" thickTop="1" x14ac:dyDescent="0.35">
      <c r="B59" s="3"/>
      <c r="C59" s="29" t="s">
        <v>25</v>
      </c>
      <c r="D59" s="35">
        <v>914550</v>
      </c>
      <c r="E59" s="111">
        <v>182910</v>
      </c>
      <c r="F59" s="84">
        <f>E59</f>
        <v>182910</v>
      </c>
      <c r="G59" s="66">
        <f>E59-F59</f>
        <v>0</v>
      </c>
      <c r="H59" s="112">
        <f t="shared" ref="H59:H60" si="16">G59/E59</f>
        <v>0</v>
      </c>
      <c r="I59" s="101"/>
      <c r="J59" s="117">
        <f>'Output-based engagement budget'!H67+'Budget monitoring Year 1 Q3+Q4'!F59</f>
        <v>301490</v>
      </c>
      <c r="K59" s="20">
        <f>D59-J59</f>
        <v>613060</v>
      </c>
      <c r="L59" s="113">
        <f>J59/D59</f>
        <v>0.32965939533103711</v>
      </c>
      <c r="M59" s="20"/>
      <c r="N59" s="3"/>
      <c r="O59" s="6"/>
    </row>
    <row r="60" spans="2:15" ht="15" hidden="1" outlineLevel="1" thickBot="1" x14ac:dyDescent="0.4">
      <c r="B60" s="3"/>
      <c r="C60" s="32" t="s">
        <v>11</v>
      </c>
      <c r="D60" s="38">
        <v>225000</v>
      </c>
      <c r="E60" s="36">
        <v>45000</v>
      </c>
      <c r="F60" s="85">
        <v>45000</v>
      </c>
      <c r="G60" s="36">
        <f t="shared" ref="G60" si="17">E60-F60</f>
        <v>0</v>
      </c>
      <c r="H60" s="104">
        <f t="shared" si="16"/>
        <v>0</v>
      </c>
      <c r="I60" s="99"/>
      <c r="J60" s="110">
        <f>'Output-based engagement budget'!H68+'Budget monitoring Year 1 Q3+Q4'!F60</f>
        <v>45000</v>
      </c>
      <c r="K60" s="20">
        <f>D60-J60</f>
        <v>180000</v>
      </c>
      <c r="L60" s="113">
        <f>J60/D60</f>
        <v>0.2</v>
      </c>
      <c r="M60" s="20">
        <f>G60/F60</f>
        <v>0</v>
      </c>
      <c r="N60" s="3"/>
      <c r="O60" s="6"/>
    </row>
    <row r="61" spans="2:15" ht="15" hidden="1" outlineLevel="1" thickTop="1" x14ac:dyDescent="0.35">
      <c r="B61" s="3"/>
      <c r="C61" s="23" t="s">
        <v>30</v>
      </c>
      <c r="D61" s="47">
        <v>1139550</v>
      </c>
      <c r="E61" s="47">
        <v>227910</v>
      </c>
      <c r="F61" s="48">
        <f>F59+F60</f>
        <v>227910</v>
      </c>
      <c r="G61" s="47">
        <f>E61-F61</f>
        <v>0</v>
      </c>
      <c r="H61" s="107">
        <f>G61/E61</f>
        <v>0</v>
      </c>
      <c r="I61" s="100"/>
      <c r="J61" s="119">
        <f>J59+J60</f>
        <v>346490</v>
      </c>
      <c r="K61" s="57">
        <f>SUM(K59:K60)</f>
        <v>793060</v>
      </c>
      <c r="L61" s="116">
        <f>J61/D61</f>
        <v>0.30405861963055592</v>
      </c>
      <c r="M61" s="58"/>
      <c r="N61" s="71"/>
      <c r="O61" s="6"/>
    </row>
    <row r="62" spans="2:15" ht="6" customHeight="1" collapsed="1" x14ac:dyDescent="0.35">
      <c r="B62" s="3"/>
      <c r="C62" s="3"/>
      <c r="D62" s="73"/>
      <c r="E62" s="3"/>
      <c r="F62" s="3"/>
      <c r="G62" s="73"/>
      <c r="H62" s="3"/>
      <c r="I62" s="98"/>
      <c r="J62" s="3"/>
      <c r="K62" s="3"/>
      <c r="L62" s="3"/>
      <c r="M62" s="3"/>
      <c r="N62" s="3"/>
      <c r="O62" s="6"/>
    </row>
    <row r="63" spans="2:15" ht="15" outlineLevel="1" thickBot="1" x14ac:dyDescent="0.4">
      <c r="B63" s="3"/>
      <c r="C63" s="201" t="s">
        <v>14</v>
      </c>
      <c r="D63" s="202"/>
      <c r="E63" s="203"/>
      <c r="F63" s="203"/>
      <c r="G63" s="202"/>
      <c r="H63" s="203"/>
      <c r="I63" s="204"/>
      <c r="J63" s="203"/>
      <c r="K63" s="203"/>
      <c r="L63" s="203"/>
      <c r="M63" s="205"/>
      <c r="N63" s="71"/>
      <c r="O63" s="6"/>
    </row>
    <row r="64" spans="2:15" outlineLevel="1" x14ac:dyDescent="0.35">
      <c r="B64" s="3"/>
      <c r="C64" s="198" t="s">
        <v>107</v>
      </c>
      <c r="D64" s="145">
        <f>(D28+D41+D54)/10</f>
        <v>924000</v>
      </c>
      <c r="E64" s="199">
        <v>0</v>
      </c>
      <c r="F64" s="199">
        <v>0</v>
      </c>
      <c r="G64" s="199">
        <v>0</v>
      </c>
      <c r="H64" s="193">
        <v>0</v>
      </c>
      <c r="I64" s="194"/>
      <c r="J64" s="192"/>
      <c r="K64" s="192"/>
      <c r="L64" s="192"/>
      <c r="M64" s="200"/>
      <c r="N64" s="3"/>
      <c r="O64" s="6"/>
    </row>
    <row r="65" spans="2:15" outlineLevel="1" x14ac:dyDescent="0.35">
      <c r="B65" s="3"/>
      <c r="C65" s="146" t="s">
        <v>53</v>
      </c>
      <c r="D65" s="109">
        <v>0</v>
      </c>
      <c r="E65" s="102">
        <v>0</v>
      </c>
      <c r="F65" s="102">
        <v>0</v>
      </c>
      <c r="G65" s="102">
        <v>0</v>
      </c>
      <c r="H65" s="105">
        <v>0</v>
      </c>
      <c r="I65" s="197"/>
      <c r="J65" s="109"/>
      <c r="K65" s="109"/>
      <c r="L65" s="109"/>
      <c r="M65" s="109"/>
      <c r="N65" s="3"/>
      <c r="O65" s="6"/>
    </row>
    <row r="66" spans="2:15" outlineLevel="1" x14ac:dyDescent="0.35">
      <c r="B66" s="3"/>
      <c r="C66" s="182"/>
      <c r="D66" s="55"/>
      <c r="E66" s="75"/>
      <c r="F66" s="75"/>
      <c r="G66" s="75"/>
      <c r="H66" s="195"/>
      <c r="I66" s="196"/>
      <c r="J66" s="55"/>
      <c r="K66" s="55"/>
      <c r="L66" s="55"/>
      <c r="M66" s="55"/>
      <c r="N66" s="3"/>
      <c r="O66" s="6"/>
    </row>
    <row r="67" spans="2:15" ht="15" outlineLevel="1" thickBot="1" x14ac:dyDescent="0.4">
      <c r="B67" s="3"/>
      <c r="C67" s="201" t="s">
        <v>24</v>
      </c>
      <c r="D67" s="202"/>
      <c r="E67" s="203"/>
      <c r="F67" s="203"/>
      <c r="G67" s="202"/>
      <c r="H67" s="203"/>
      <c r="I67" s="204"/>
      <c r="J67" s="203"/>
      <c r="K67" s="203"/>
      <c r="L67" s="203"/>
      <c r="M67" s="205"/>
      <c r="N67" s="3"/>
      <c r="O67" s="6"/>
    </row>
    <row r="68" spans="2:15" outlineLevel="1" x14ac:dyDescent="0.35">
      <c r="B68" s="3"/>
      <c r="C68" s="146" t="s">
        <v>81</v>
      </c>
      <c r="D68" s="109">
        <f>(D28+D41+D54+D64)*7%</f>
        <v>711480.00000000012</v>
      </c>
      <c r="E68" s="102">
        <f>'Output-based engagement budget'!I67</f>
        <v>118580</v>
      </c>
      <c r="F68" s="109">
        <f>(F28+F41+F54)*7%</f>
        <v>149093</v>
      </c>
      <c r="G68" s="66">
        <f t="shared" ref="G68" si="18">E68-F68</f>
        <v>-30513</v>
      </c>
      <c r="H68" s="105">
        <f t="shared" ref="H68" si="19">G68/E68</f>
        <v>-0.25731995277449821</v>
      </c>
      <c r="I68" s="197"/>
      <c r="J68" s="109">
        <f>F68+'Budget monitoring Year 1 Q1-Q2'!J68</f>
        <v>308931</v>
      </c>
      <c r="K68" s="109">
        <f>D68-J68</f>
        <v>402549.00000000012</v>
      </c>
      <c r="L68" s="115">
        <f>J68/D68</f>
        <v>0.43420897284533644</v>
      </c>
      <c r="M68" s="109"/>
      <c r="N68" s="3"/>
      <c r="O68" s="6"/>
    </row>
    <row r="69" spans="2:15" ht="15" outlineLevel="1" thickBot="1" x14ac:dyDescent="0.4">
      <c r="B69" s="3"/>
      <c r="C69" s="146" t="s">
        <v>11</v>
      </c>
      <c r="D69" s="109">
        <f>'Output-based engagement budget'!G68</f>
        <v>135000</v>
      </c>
      <c r="E69" s="102">
        <f>'Output-based engagement budget'!I68</f>
        <v>45000</v>
      </c>
      <c r="F69" s="102">
        <f>'Output-based engagement budget'!I68</f>
        <v>45000</v>
      </c>
      <c r="G69" s="102">
        <f>E69-F69</f>
        <v>0</v>
      </c>
      <c r="H69" s="105">
        <v>0</v>
      </c>
      <c r="I69" s="197"/>
      <c r="J69" s="109">
        <f>F69+'Budget monitoring Year 1 Q1-Q2'!J69</f>
        <v>45000</v>
      </c>
      <c r="K69" s="109">
        <f>D69-J69</f>
        <v>90000</v>
      </c>
      <c r="L69" s="109">
        <v>0</v>
      </c>
      <c r="M69" s="109"/>
      <c r="N69" s="3"/>
      <c r="O69" s="6"/>
    </row>
    <row r="70" spans="2:15" ht="15" outlineLevel="1" thickTop="1" x14ac:dyDescent="0.35">
      <c r="B70" s="3"/>
      <c r="C70" s="23" t="s">
        <v>30</v>
      </c>
      <c r="D70" s="47">
        <f>D68+D69</f>
        <v>846480.00000000012</v>
      </c>
      <c r="E70" s="47">
        <f t="shared" ref="E70:G70" si="20">E68+E69</f>
        <v>163580</v>
      </c>
      <c r="F70" s="47">
        <f t="shared" si="20"/>
        <v>194093</v>
      </c>
      <c r="G70" s="47">
        <f t="shared" si="20"/>
        <v>-30513</v>
      </c>
      <c r="H70" s="107">
        <f>G70/E70</f>
        <v>-0.18653258344540896</v>
      </c>
      <c r="I70" s="97" t="s">
        <v>105</v>
      </c>
      <c r="J70" s="118">
        <f>SUM(J68:J69)</f>
        <v>353931</v>
      </c>
      <c r="K70" s="118">
        <f t="shared" ref="K70:L70" si="21">SUM(K68:K69)</f>
        <v>492549.00000000012</v>
      </c>
      <c r="L70" s="207">
        <f t="shared" si="21"/>
        <v>0.43420897284533644</v>
      </c>
      <c r="M70" s="26"/>
      <c r="N70" s="3"/>
      <c r="O70" s="6"/>
    </row>
    <row r="71" spans="2:15" x14ac:dyDescent="0.3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</sheetData>
  <mergeCells count="10">
    <mergeCell ref="D11:M11"/>
    <mergeCell ref="D12:M12"/>
    <mergeCell ref="E14:I14"/>
    <mergeCell ref="J14:M14"/>
    <mergeCell ref="D4:M4"/>
    <mergeCell ref="D5:M5"/>
    <mergeCell ref="D6:M6"/>
    <mergeCell ref="D7:M7"/>
    <mergeCell ref="D8:M8"/>
    <mergeCell ref="D9:M9"/>
  </mergeCell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71"/>
  <sheetViews>
    <sheetView showGridLines="0" topLeftCell="A8" zoomScaleNormal="100" workbookViewId="0">
      <pane ySplit="8" topLeftCell="A16" activePane="bottomLeft" state="frozen"/>
      <selection activeCell="A8" sqref="A8"/>
      <selection pane="bottomLeft" activeCell="F68" sqref="F68"/>
    </sheetView>
  </sheetViews>
  <sheetFormatPr defaultRowHeight="14.5" outlineLevelRow="1" x14ac:dyDescent="0.35"/>
  <cols>
    <col min="1" max="2" width="2.7265625" customWidth="1"/>
    <col min="3" max="3" width="35" customWidth="1"/>
    <col min="4" max="4" width="19.26953125" customWidth="1"/>
    <col min="5" max="5" width="17" customWidth="1"/>
    <col min="6" max="6" width="15.26953125" customWidth="1"/>
    <col min="7" max="7" width="15.453125" customWidth="1"/>
    <col min="8" max="8" width="12.7265625" bestFit="1" customWidth="1"/>
    <col min="9" max="9" width="58.26953125" customWidth="1"/>
    <col min="10" max="10" width="15.7265625" customWidth="1"/>
    <col min="11" max="11" width="15" customWidth="1"/>
    <col min="12" max="13" width="12" customWidth="1"/>
    <col min="14" max="14" width="3.1796875" style="2" customWidth="1"/>
    <col min="15" max="15" width="3.26953125" customWidth="1"/>
  </cols>
  <sheetData>
    <row r="2" spans="2:22" ht="21" x14ac:dyDescent="0.5">
      <c r="B2" s="3"/>
      <c r="C2" s="74" t="s">
        <v>78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2" x14ac:dyDescent="0.35">
      <c r="B3" s="3"/>
      <c r="C3" s="126" t="s">
        <v>15</v>
      </c>
      <c r="D3" s="127"/>
      <c r="E3" s="127"/>
      <c r="F3" s="127"/>
      <c r="G3" s="127"/>
      <c r="H3" s="127"/>
      <c r="I3" s="127"/>
      <c r="J3" s="127"/>
      <c r="K3" s="127"/>
      <c r="L3" s="127"/>
      <c r="M3" s="128"/>
      <c r="N3" s="68"/>
    </row>
    <row r="4" spans="2:22" x14ac:dyDescent="0.35">
      <c r="B4" s="3"/>
      <c r="C4" s="11" t="s">
        <v>42</v>
      </c>
      <c r="D4" s="215" t="s">
        <v>43</v>
      </c>
      <c r="E4" s="216"/>
      <c r="F4" s="216"/>
      <c r="G4" s="216"/>
      <c r="H4" s="216"/>
      <c r="I4" s="216"/>
      <c r="J4" s="216"/>
      <c r="K4" s="216"/>
      <c r="L4" s="216"/>
      <c r="M4" s="217"/>
      <c r="N4" s="69"/>
      <c r="Q4" s="76"/>
      <c r="R4" s="76"/>
      <c r="S4" s="77"/>
      <c r="T4" s="76"/>
      <c r="U4" s="76"/>
      <c r="V4" s="77"/>
    </row>
    <row r="5" spans="2:22" x14ac:dyDescent="0.35">
      <c r="B5" s="3"/>
      <c r="C5" s="11" t="s">
        <v>16</v>
      </c>
      <c r="D5" s="209" t="s">
        <v>41</v>
      </c>
      <c r="E5" s="210"/>
      <c r="F5" s="210"/>
      <c r="G5" s="210"/>
      <c r="H5" s="210"/>
      <c r="I5" s="210"/>
      <c r="J5" s="210"/>
      <c r="K5" s="210"/>
      <c r="L5" s="210"/>
      <c r="M5" s="211"/>
      <c r="N5" s="69"/>
      <c r="Q5" s="76"/>
      <c r="R5" s="76"/>
      <c r="S5" s="77"/>
      <c r="T5" s="76"/>
      <c r="U5" s="76"/>
      <c r="V5" s="77"/>
    </row>
    <row r="6" spans="2:22" x14ac:dyDescent="0.35">
      <c r="B6" s="3"/>
      <c r="C6" s="11" t="s">
        <v>17</v>
      </c>
      <c r="D6" s="209" t="s">
        <v>40</v>
      </c>
      <c r="E6" s="210"/>
      <c r="F6" s="210"/>
      <c r="G6" s="210"/>
      <c r="H6" s="210"/>
      <c r="I6" s="210"/>
      <c r="J6" s="210"/>
      <c r="K6" s="210"/>
      <c r="L6" s="210"/>
      <c r="M6" s="211"/>
      <c r="N6" s="69"/>
      <c r="Q6" s="76"/>
      <c r="R6" s="76"/>
      <c r="S6" s="77"/>
      <c r="T6" s="76"/>
      <c r="U6" s="76"/>
      <c r="V6" s="77"/>
    </row>
    <row r="7" spans="2:22" x14ac:dyDescent="0.35">
      <c r="B7" s="3"/>
      <c r="C7" s="11" t="s">
        <v>60</v>
      </c>
      <c r="D7" s="209" t="s">
        <v>61</v>
      </c>
      <c r="E7" s="210"/>
      <c r="F7" s="210"/>
      <c r="G7" s="210"/>
      <c r="H7" s="210"/>
      <c r="I7" s="210"/>
      <c r="J7" s="210"/>
      <c r="K7" s="210"/>
      <c r="L7" s="210"/>
      <c r="M7" s="211"/>
      <c r="N7" s="69"/>
      <c r="Q7" s="76"/>
      <c r="R7" s="76"/>
      <c r="S7" s="77"/>
      <c r="T7" s="76"/>
      <c r="U7" s="76"/>
      <c r="V7" s="77"/>
    </row>
    <row r="8" spans="2:22" x14ac:dyDescent="0.35">
      <c r="B8" s="3"/>
      <c r="C8" s="11" t="s">
        <v>18</v>
      </c>
      <c r="D8" s="209" t="s">
        <v>79</v>
      </c>
      <c r="E8" s="210"/>
      <c r="F8" s="210"/>
      <c r="G8" s="210"/>
      <c r="H8" s="210"/>
      <c r="I8" s="210"/>
      <c r="J8" s="210"/>
      <c r="K8" s="210"/>
      <c r="L8" s="210"/>
      <c r="M8" s="211"/>
      <c r="N8" s="69"/>
    </row>
    <row r="9" spans="2:22" x14ac:dyDescent="0.35">
      <c r="B9" s="3"/>
      <c r="C9" s="11" t="s">
        <v>58</v>
      </c>
      <c r="D9" s="209" t="s">
        <v>74</v>
      </c>
      <c r="E9" s="210"/>
      <c r="F9" s="210"/>
      <c r="G9" s="210"/>
      <c r="H9" s="210"/>
      <c r="I9" s="210"/>
      <c r="J9" s="210"/>
      <c r="K9" s="210"/>
      <c r="L9" s="210"/>
      <c r="M9" s="211"/>
      <c r="N9" s="69"/>
    </row>
    <row r="10" spans="2:22" x14ac:dyDescent="0.35">
      <c r="B10" s="3"/>
      <c r="C10" s="11" t="s">
        <v>59</v>
      </c>
      <c r="D10" s="181" t="s">
        <v>75</v>
      </c>
      <c r="E10" s="182"/>
      <c r="F10" s="182"/>
      <c r="G10" s="182"/>
      <c r="H10" s="182"/>
      <c r="I10" s="182"/>
      <c r="J10" s="182"/>
      <c r="K10" s="182"/>
      <c r="L10" s="182"/>
      <c r="M10" s="183"/>
      <c r="N10" s="69"/>
    </row>
    <row r="11" spans="2:22" x14ac:dyDescent="0.35">
      <c r="B11" s="3"/>
      <c r="C11" s="11" t="s">
        <v>19</v>
      </c>
      <c r="D11" s="209" t="s">
        <v>56</v>
      </c>
      <c r="E11" s="210"/>
      <c r="F11" s="210"/>
      <c r="G11" s="210"/>
      <c r="H11" s="210"/>
      <c r="I11" s="210"/>
      <c r="J11" s="210"/>
      <c r="K11" s="210"/>
      <c r="L11" s="210"/>
      <c r="M11" s="211"/>
      <c r="N11" s="69"/>
    </row>
    <row r="12" spans="2:22" x14ac:dyDescent="0.35">
      <c r="B12" s="3"/>
      <c r="C12" s="11" t="s">
        <v>20</v>
      </c>
      <c r="D12" s="218" t="s">
        <v>57</v>
      </c>
      <c r="E12" s="219"/>
      <c r="F12" s="219"/>
      <c r="G12" s="219"/>
      <c r="H12" s="219"/>
      <c r="I12" s="219"/>
      <c r="J12" s="219"/>
      <c r="K12" s="219"/>
      <c r="L12" s="219"/>
      <c r="M12" s="220"/>
      <c r="N12" s="69"/>
    </row>
    <row r="13" spans="2:22" ht="6" customHeigh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22" ht="25.15" customHeight="1" x14ac:dyDescent="0.35">
      <c r="B14" s="3"/>
      <c r="C14" s="184"/>
      <c r="D14" s="185"/>
      <c r="E14" s="221" t="s">
        <v>62</v>
      </c>
      <c r="F14" s="222"/>
      <c r="G14" s="222"/>
      <c r="H14" s="222"/>
      <c r="I14" s="223"/>
      <c r="J14" s="221" t="s">
        <v>72</v>
      </c>
      <c r="K14" s="222"/>
      <c r="L14" s="222"/>
      <c r="M14" s="223"/>
      <c r="N14" s="3"/>
    </row>
    <row r="15" spans="2:22" ht="59.25" customHeight="1" thickBot="1" x14ac:dyDescent="0.4">
      <c r="B15" s="3"/>
      <c r="C15" s="186"/>
      <c r="D15" s="187" t="s">
        <v>93</v>
      </c>
      <c r="E15" s="188" t="s">
        <v>98</v>
      </c>
      <c r="F15" s="188" t="s">
        <v>99</v>
      </c>
      <c r="G15" s="188" t="s">
        <v>63</v>
      </c>
      <c r="H15" s="189" t="s">
        <v>64</v>
      </c>
      <c r="I15" s="190" t="s">
        <v>65</v>
      </c>
      <c r="J15" s="188" t="s">
        <v>95</v>
      </c>
      <c r="K15" s="188" t="s">
        <v>67</v>
      </c>
      <c r="L15" s="189" t="s">
        <v>73</v>
      </c>
      <c r="M15" s="189" t="s">
        <v>96</v>
      </c>
      <c r="N15" s="70"/>
      <c r="O15" s="59"/>
    </row>
    <row r="16" spans="2:22" ht="6" customHeight="1" thickTop="1" thickBo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70"/>
      <c r="O16" s="59"/>
    </row>
    <row r="17" spans="2:15" ht="15.5" thickTop="1" thickBot="1" x14ac:dyDescent="0.4">
      <c r="B17" s="3"/>
      <c r="C17" s="7" t="s">
        <v>29</v>
      </c>
      <c r="D17" s="50">
        <f>'Output-based engagement budget'!G71</f>
        <v>11010480</v>
      </c>
      <c r="E17" s="61">
        <f>'Output-based engagement budget'!H71</f>
        <v>2616080</v>
      </c>
      <c r="F17" s="86">
        <f>F30+F43+F56</f>
        <v>2443238</v>
      </c>
      <c r="G17" s="50">
        <f>E17-F17</f>
        <v>172842</v>
      </c>
      <c r="H17" s="87">
        <f>G17/E17</f>
        <v>6.6069080456255161E-2</v>
      </c>
      <c r="I17" s="88" t="s">
        <v>100</v>
      </c>
      <c r="J17" s="51">
        <f>'Output-based engagement budget'!H20+'Budget monitoring Year 1 Q1-Q2'!F17</f>
        <v>5059318</v>
      </c>
      <c r="K17" s="51">
        <f>D17-J17</f>
        <v>5951162</v>
      </c>
      <c r="L17" s="82">
        <f>J17/D17</f>
        <v>0.45950022160705073</v>
      </c>
      <c r="M17" s="60">
        <f t="shared" ref="M17" si="0">M30+M43+M56+M61</f>
        <v>0</v>
      </c>
      <c r="N17" s="62"/>
      <c r="O17" s="6"/>
    </row>
    <row r="18" spans="2:15" ht="6" customHeight="1" thickTop="1" x14ac:dyDescent="0.35">
      <c r="B18" s="3"/>
      <c r="D18" s="5"/>
      <c r="G18" s="5"/>
      <c r="I18" s="89"/>
      <c r="N18" s="3"/>
    </row>
    <row r="19" spans="2:15" ht="15" outlineLevel="1" thickBot="1" x14ac:dyDescent="0.4">
      <c r="B19" s="3"/>
      <c r="C19" s="15" t="s">
        <v>2</v>
      </c>
      <c r="D19" s="16"/>
      <c r="E19" s="16"/>
      <c r="F19" s="16"/>
      <c r="G19" s="16"/>
      <c r="H19" s="16"/>
      <c r="I19" s="90"/>
      <c r="J19" s="16"/>
      <c r="K19" s="16"/>
      <c r="L19" s="16"/>
      <c r="M19" s="17"/>
      <c r="N19" s="71"/>
    </row>
    <row r="20" spans="2:15" ht="15" outlineLevel="1" thickTop="1" x14ac:dyDescent="0.35">
      <c r="B20" s="3"/>
      <c r="C20" s="29" t="s">
        <v>3</v>
      </c>
      <c r="D20" s="35">
        <f>'Output-based engagement budget'!G23</f>
        <v>1080000</v>
      </c>
      <c r="E20" s="35">
        <f>'Output-based engagement budget'!H23</f>
        <v>180000</v>
      </c>
      <c r="F20" s="78">
        <v>150000</v>
      </c>
      <c r="G20" s="35">
        <f>E20-F20</f>
        <v>30000</v>
      </c>
      <c r="H20" s="104">
        <f>G20/E20</f>
        <v>0.16666666666666666</v>
      </c>
      <c r="I20" s="92" t="s">
        <v>66</v>
      </c>
      <c r="J20" s="117">
        <f>F20</f>
        <v>150000</v>
      </c>
      <c r="K20" s="83">
        <f>D20-J20</f>
        <v>930000</v>
      </c>
      <c r="L20" s="108">
        <f>J20/D20</f>
        <v>0.1388888888888889</v>
      </c>
      <c r="M20" s="20"/>
      <c r="N20" s="62"/>
      <c r="O20" s="6"/>
    </row>
    <row r="21" spans="2:15" outlineLevel="1" x14ac:dyDescent="0.35">
      <c r="B21" s="3"/>
      <c r="C21" s="30" t="s">
        <v>4</v>
      </c>
      <c r="D21" s="36">
        <f>'Output-based engagement budget'!G24</f>
        <v>250000</v>
      </c>
      <c r="E21" s="36">
        <f>'Output-based engagement budget'!H24</f>
        <v>0</v>
      </c>
      <c r="F21" s="79">
        <v>0</v>
      </c>
      <c r="G21" s="36">
        <f>E21-F21</f>
        <v>0</v>
      </c>
      <c r="H21" s="104">
        <v>0</v>
      </c>
      <c r="I21" s="92"/>
      <c r="J21" s="110">
        <f>F21</f>
        <v>0</v>
      </c>
      <c r="K21" s="20">
        <f t="shared" ref="K21:K27" si="1">D21-J21</f>
        <v>250000</v>
      </c>
      <c r="L21" s="113">
        <f t="shared" ref="L21:L30" si="2">J21/D21</f>
        <v>0</v>
      </c>
      <c r="M21" s="20"/>
      <c r="N21" s="62"/>
      <c r="O21" s="6"/>
    </row>
    <row r="22" spans="2:15" outlineLevel="1" x14ac:dyDescent="0.35">
      <c r="B22" s="3"/>
      <c r="C22" s="30" t="s">
        <v>21</v>
      </c>
      <c r="D22" s="36">
        <f>'Output-based engagement budget'!G25</f>
        <v>245000</v>
      </c>
      <c r="E22" s="36">
        <f>'Output-based engagement budget'!H25</f>
        <v>35000</v>
      </c>
      <c r="F22" s="79">
        <v>35000</v>
      </c>
      <c r="G22" s="36">
        <f t="shared" ref="G22:G26" si="3">E22-F22</f>
        <v>0</v>
      </c>
      <c r="H22" s="104">
        <f>G22/E22</f>
        <v>0</v>
      </c>
      <c r="I22" s="92"/>
      <c r="J22" s="110">
        <f t="shared" ref="J22:J27" si="4">F22</f>
        <v>35000</v>
      </c>
      <c r="K22" s="20">
        <f t="shared" si="1"/>
        <v>210000</v>
      </c>
      <c r="L22" s="113">
        <f t="shared" si="2"/>
        <v>0.14285714285714285</v>
      </c>
      <c r="M22" s="20"/>
      <c r="N22" s="62"/>
      <c r="O22" s="6"/>
    </row>
    <row r="23" spans="2:15" outlineLevel="1" x14ac:dyDescent="0.35">
      <c r="B23" s="3"/>
      <c r="C23" s="30" t="s">
        <v>22</v>
      </c>
      <c r="D23" s="36">
        <f>'Output-based engagement budget'!G26</f>
        <v>150000</v>
      </c>
      <c r="E23" s="36">
        <f>'Output-based engagement budget'!H26</f>
        <v>150000</v>
      </c>
      <c r="F23" s="79">
        <v>150000</v>
      </c>
      <c r="G23" s="36">
        <f t="shared" si="3"/>
        <v>0</v>
      </c>
      <c r="H23" s="104">
        <f>G23/E23</f>
        <v>0</v>
      </c>
      <c r="I23" s="93"/>
      <c r="J23" s="110">
        <f t="shared" si="4"/>
        <v>150000</v>
      </c>
      <c r="K23" s="20">
        <f t="shared" si="1"/>
        <v>0</v>
      </c>
      <c r="L23" s="113">
        <f t="shared" si="2"/>
        <v>1</v>
      </c>
      <c r="M23" s="20"/>
      <c r="N23" s="62"/>
      <c r="O23" s="6"/>
    </row>
    <row r="24" spans="2:15" outlineLevel="1" x14ac:dyDescent="0.35">
      <c r="B24" s="3"/>
      <c r="C24" s="30" t="s">
        <v>5</v>
      </c>
      <c r="D24" s="36">
        <f>'Output-based engagement budget'!G27</f>
        <v>900000</v>
      </c>
      <c r="E24" s="36">
        <f>'Output-based engagement budget'!H27</f>
        <v>150000</v>
      </c>
      <c r="F24" s="79">
        <v>75000</v>
      </c>
      <c r="G24" s="36">
        <f t="shared" si="3"/>
        <v>75000</v>
      </c>
      <c r="H24" s="104">
        <f t="shared" ref="H24:H26" si="5">G24/E24</f>
        <v>0.5</v>
      </c>
      <c r="I24" s="92" t="s">
        <v>69</v>
      </c>
      <c r="J24" s="110">
        <f t="shared" si="4"/>
        <v>75000</v>
      </c>
      <c r="K24" s="20">
        <f t="shared" si="1"/>
        <v>825000</v>
      </c>
      <c r="L24" s="113">
        <f t="shared" si="2"/>
        <v>8.3333333333333329E-2</v>
      </c>
      <c r="M24" s="20"/>
      <c r="N24" s="62"/>
      <c r="O24" s="6"/>
    </row>
    <row r="25" spans="2:15" outlineLevel="1" x14ac:dyDescent="0.35">
      <c r="B25" s="3"/>
      <c r="C25" s="30" t="s">
        <v>7</v>
      </c>
      <c r="D25" s="36">
        <f>'Output-based engagement budget'!G28</f>
        <v>360000</v>
      </c>
      <c r="E25" s="36">
        <f>'Output-based engagement budget'!H28</f>
        <v>0</v>
      </c>
      <c r="F25" s="79">
        <v>0</v>
      </c>
      <c r="G25" s="36">
        <f t="shared" si="3"/>
        <v>0</v>
      </c>
      <c r="H25" s="104">
        <v>0</v>
      </c>
      <c r="I25" s="92"/>
      <c r="J25" s="110">
        <f t="shared" si="4"/>
        <v>0</v>
      </c>
      <c r="K25" s="20">
        <f t="shared" si="1"/>
        <v>360000</v>
      </c>
      <c r="L25" s="113">
        <f t="shared" si="2"/>
        <v>0</v>
      </c>
      <c r="M25" s="20"/>
      <c r="N25" s="62"/>
      <c r="O25" s="6"/>
    </row>
    <row r="26" spans="2:15" outlineLevel="1" x14ac:dyDescent="0.35">
      <c r="B26" s="3"/>
      <c r="C26" s="30" t="s">
        <v>8</v>
      </c>
      <c r="D26" s="36">
        <f>'Output-based engagement budget'!G29</f>
        <v>360000</v>
      </c>
      <c r="E26" s="36">
        <f>'Output-based engagement budget'!H29</f>
        <v>180000</v>
      </c>
      <c r="F26" s="79">
        <v>180000</v>
      </c>
      <c r="G26" s="36">
        <f t="shared" si="3"/>
        <v>0</v>
      </c>
      <c r="H26" s="104">
        <f t="shared" si="5"/>
        <v>0</v>
      </c>
      <c r="I26" s="93"/>
      <c r="J26" s="110">
        <f t="shared" si="4"/>
        <v>180000</v>
      </c>
      <c r="K26" s="20">
        <f t="shared" si="1"/>
        <v>180000</v>
      </c>
      <c r="L26" s="113">
        <f t="shared" si="2"/>
        <v>0.5</v>
      </c>
      <c r="M26" s="20"/>
      <c r="N26" s="62"/>
      <c r="O26" s="6"/>
    </row>
    <row r="27" spans="2:15" outlineLevel="1" x14ac:dyDescent="0.35">
      <c r="B27" s="3"/>
      <c r="C27" s="30" t="s">
        <v>23</v>
      </c>
      <c r="D27" s="37">
        <v>0</v>
      </c>
      <c r="E27" s="36">
        <f>'Output-based engagement budget'!H30</f>
        <v>0</v>
      </c>
      <c r="F27" s="80">
        <v>0</v>
      </c>
      <c r="G27" s="37">
        <f>E27-F27</f>
        <v>0</v>
      </c>
      <c r="H27" s="104">
        <v>0</v>
      </c>
      <c r="I27" s="94"/>
      <c r="J27" s="110">
        <f t="shared" si="4"/>
        <v>0</v>
      </c>
      <c r="K27" s="20">
        <f t="shared" si="1"/>
        <v>0</v>
      </c>
      <c r="L27" s="114">
        <v>0</v>
      </c>
      <c r="M27" s="21"/>
      <c r="N27" s="62"/>
      <c r="O27" s="6"/>
    </row>
    <row r="28" spans="2:15" outlineLevel="1" x14ac:dyDescent="0.35">
      <c r="B28" s="3"/>
      <c r="C28" s="31" t="s">
        <v>28</v>
      </c>
      <c r="D28" s="63">
        <f>'Output-based engagement budget'!G31</f>
        <v>3345000</v>
      </c>
      <c r="E28" s="102">
        <f>SUM(E20:E27)</f>
        <v>695000</v>
      </c>
      <c r="F28" s="81">
        <f>SUM(F20:F27)</f>
        <v>590000</v>
      </c>
      <c r="G28" s="63">
        <f>SUM(G20:G27)</f>
        <v>105000</v>
      </c>
      <c r="H28" s="105">
        <f>G28/E28</f>
        <v>0.15107913669064749</v>
      </c>
      <c r="I28" s="95"/>
      <c r="J28" s="109">
        <f>SUM(J20:J27)</f>
        <v>590000</v>
      </c>
      <c r="K28" s="65">
        <f>SUM(K20:K27)</f>
        <v>2755000</v>
      </c>
      <c r="L28" s="115">
        <f t="shared" si="2"/>
        <v>0.17638266068759342</v>
      </c>
      <c r="M28" s="65">
        <f>SUM(M20:M27)</f>
        <v>0</v>
      </c>
      <c r="N28" s="62"/>
      <c r="O28" s="6"/>
    </row>
    <row r="29" spans="2:15" ht="15" outlineLevel="1" thickBot="1" x14ac:dyDescent="0.4">
      <c r="B29" s="3"/>
      <c r="C29" s="32" t="s">
        <v>27</v>
      </c>
      <c r="D29" s="66">
        <f>'Output-based engagement budget'!G32</f>
        <v>474320</v>
      </c>
      <c r="E29" s="66">
        <f>'Output-based engagement budget'!H32</f>
        <v>79053.333333333328</v>
      </c>
      <c r="F29" s="75">
        <f>F68/3*2</f>
        <v>106558.66666666669</v>
      </c>
      <c r="G29" s="66">
        <f>E29-F29</f>
        <v>-27505.333333333358</v>
      </c>
      <c r="H29" s="106">
        <f>G29/E29</f>
        <v>-0.34793388429752098</v>
      </c>
      <c r="I29" s="96"/>
      <c r="J29" s="109">
        <f>F29</f>
        <v>106558.66666666669</v>
      </c>
      <c r="K29" s="67">
        <f>D29-J29</f>
        <v>367761.33333333331</v>
      </c>
      <c r="L29" s="115">
        <f t="shared" si="2"/>
        <v>0.22465564738292015</v>
      </c>
      <c r="M29" s="67"/>
      <c r="N29" s="62"/>
      <c r="O29" s="6"/>
    </row>
    <row r="30" spans="2:15" ht="15" thickTop="1" x14ac:dyDescent="0.35">
      <c r="B30" s="3"/>
      <c r="C30" s="23" t="s">
        <v>54</v>
      </c>
      <c r="D30" s="47">
        <f>'Output-based engagement budget'!G33</f>
        <v>3819320</v>
      </c>
      <c r="E30" s="47">
        <f>E28+E29</f>
        <v>774053.33333333337</v>
      </c>
      <c r="F30" s="58">
        <f>F28+F29</f>
        <v>696558.66666666674</v>
      </c>
      <c r="G30" s="47">
        <f>G28-G29</f>
        <v>132505.33333333337</v>
      </c>
      <c r="H30" s="107">
        <f>G30/E30</f>
        <v>0.17118372549695116</v>
      </c>
      <c r="I30" s="97">
        <f t="shared" ref="I30:K30" si="6">SUM(I28:I29)</f>
        <v>0</v>
      </c>
      <c r="J30" s="118">
        <f>SUM(J28:J29)</f>
        <v>696558.66666666674</v>
      </c>
      <c r="K30" s="26">
        <f t="shared" si="6"/>
        <v>3122761.3333333335</v>
      </c>
      <c r="L30" s="116">
        <f t="shared" si="2"/>
        <v>0.18237766583231224</v>
      </c>
      <c r="M30" s="26">
        <f>M28+M29</f>
        <v>0</v>
      </c>
      <c r="N30" s="72"/>
      <c r="O30" s="6"/>
    </row>
    <row r="31" spans="2:15" ht="6" customHeight="1" x14ac:dyDescent="0.35">
      <c r="B31" s="3"/>
      <c r="C31" s="3"/>
      <c r="D31" s="73"/>
      <c r="E31" s="3"/>
      <c r="F31" s="3"/>
      <c r="G31" s="73"/>
      <c r="H31" s="3"/>
      <c r="I31" s="98"/>
      <c r="J31" s="3"/>
      <c r="K31" s="3"/>
      <c r="L31" s="3"/>
      <c r="M31" s="3"/>
      <c r="N31" s="3"/>
    </row>
    <row r="32" spans="2:15" ht="15" outlineLevel="1" thickBot="1" x14ac:dyDescent="0.4">
      <c r="B32" s="3"/>
      <c r="C32" s="15" t="s">
        <v>9</v>
      </c>
      <c r="D32" s="16"/>
      <c r="E32" s="16"/>
      <c r="F32" s="16"/>
      <c r="G32" s="16"/>
      <c r="H32" s="16"/>
      <c r="I32" s="90"/>
      <c r="J32" s="16"/>
      <c r="K32" s="16"/>
      <c r="L32" s="16"/>
      <c r="M32" s="17"/>
      <c r="N32" s="71"/>
    </row>
    <row r="33" spans="2:15" ht="15" outlineLevel="1" thickTop="1" x14ac:dyDescent="0.35">
      <c r="B33" s="3"/>
      <c r="C33" s="29" t="s">
        <v>3</v>
      </c>
      <c r="D33" s="35">
        <f>'Output-based engagement budget'!G36</f>
        <v>450000</v>
      </c>
      <c r="E33" s="35">
        <f>'Output-based engagement budget'!H36</f>
        <v>90000</v>
      </c>
      <c r="F33" s="78">
        <v>90000</v>
      </c>
      <c r="G33" s="36">
        <f>E33-F33</f>
        <v>0</v>
      </c>
      <c r="H33" s="103">
        <f>G33/E33</f>
        <v>0</v>
      </c>
      <c r="I33" s="91"/>
      <c r="J33" s="117">
        <f>F33</f>
        <v>90000</v>
      </c>
      <c r="K33" s="83">
        <f>D33-J33</f>
        <v>360000</v>
      </c>
      <c r="L33" s="108">
        <f>J33/D33</f>
        <v>0.2</v>
      </c>
      <c r="M33" s="20"/>
      <c r="N33" s="62"/>
      <c r="O33" s="6"/>
    </row>
    <row r="34" spans="2:15" outlineLevel="1" x14ac:dyDescent="0.35">
      <c r="B34" s="3"/>
      <c r="C34" s="30" t="s">
        <v>4</v>
      </c>
      <c r="D34" s="36">
        <f>'Output-based engagement budget'!G37</f>
        <v>200000</v>
      </c>
      <c r="E34" s="36">
        <f>'Output-based engagement budget'!H37</f>
        <v>0</v>
      </c>
      <c r="F34" s="79">
        <v>0</v>
      </c>
      <c r="G34" s="36">
        <f>E34-F34</f>
        <v>0</v>
      </c>
      <c r="H34" s="104">
        <v>0</v>
      </c>
      <c r="I34" s="92"/>
      <c r="J34" s="110">
        <f>F34</f>
        <v>0</v>
      </c>
      <c r="K34" s="20">
        <f t="shared" ref="K34:K40" si="7">D34-J34</f>
        <v>200000</v>
      </c>
      <c r="L34" s="113">
        <f t="shared" ref="L34:L43" si="8">J34/D34</f>
        <v>0</v>
      </c>
      <c r="M34" s="20"/>
      <c r="N34" s="62"/>
      <c r="O34" s="6"/>
    </row>
    <row r="35" spans="2:15" outlineLevel="1" x14ac:dyDescent="0.35">
      <c r="B35" s="3"/>
      <c r="C35" s="30" t="s">
        <v>21</v>
      </c>
      <c r="D35" s="156">
        <f>'Output-based engagement budget'!G38</f>
        <v>550000</v>
      </c>
      <c r="E35" s="36">
        <f>'Output-based engagement budget'!H38</f>
        <v>150000</v>
      </c>
      <c r="F35" s="79">
        <v>100000</v>
      </c>
      <c r="G35" s="36">
        <f t="shared" ref="G35:G42" si="9">E35-F35</f>
        <v>50000</v>
      </c>
      <c r="H35" s="104">
        <f t="shared" ref="H35:H39" si="10">G35/E35</f>
        <v>0.33333333333333331</v>
      </c>
      <c r="I35" s="92" t="s">
        <v>104</v>
      </c>
      <c r="J35" s="110">
        <f t="shared" ref="J35:J40" si="11">F35</f>
        <v>100000</v>
      </c>
      <c r="K35" s="20">
        <f t="shared" si="7"/>
        <v>450000</v>
      </c>
      <c r="L35" s="113">
        <f t="shared" si="8"/>
        <v>0.18181818181818182</v>
      </c>
      <c r="M35" s="20"/>
      <c r="N35" s="62"/>
      <c r="O35" s="6"/>
    </row>
    <row r="36" spans="2:15" outlineLevel="1" x14ac:dyDescent="0.35">
      <c r="B36" s="3"/>
      <c r="C36" s="30" t="s">
        <v>22</v>
      </c>
      <c r="D36" s="36">
        <f>'Output-based engagement budget'!G39</f>
        <v>500000</v>
      </c>
      <c r="E36" s="36">
        <f>'Output-based engagement budget'!H39</f>
        <v>500000</v>
      </c>
      <c r="F36" s="79">
        <v>500000</v>
      </c>
      <c r="G36" s="36">
        <f t="shared" si="9"/>
        <v>0</v>
      </c>
      <c r="H36" s="104">
        <f t="shared" si="10"/>
        <v>0</v>
      </c>
      <c r="I36" s="92"/>
      <c r="J36" s="110">
        <f t="shared" si="11"/>
        <v>500000</v>
      </c>
      <c r="K36" s="20">
        <f t="shared" si="7"/>
        <v>0</v>
      </c>
      <c r="L36" s="113">
        <f t="shared" si="8"/>
        <v>1</v>
      </c>
      <c r="M36" s="20"/>
      <c r="N36" s="62"/>
      <c r="O36" s="6"/>
    </row>
    <row r="37" spans="2:15" outlineLevel="1" x14ac:dyDescent="0.35">
      <c r="B37" s="3"/>
      <c r="C37" s="30" t="s">
        <v>5</v>
      </c>
      <c r="D37" s="36">
        <f>'Output-based engagement budget'!G40</f>
        <v>1260000</v>
      </c>
      <c r="E37" s="36">
        <f>'Output-based engagement budget'!H40</f>
        <v>210000</v>
      </c>
      <c r="F37" s="79">
        <v>210000</v>
      </c>
      <c r="G37" s="36">
        <f t="shared" si="9"/>
        <v>0</v>
      </c>
      <c r="H37" s="104">
        <f t="shared" si="10"/>
        <v>0</v>
      </c>
      <c r="I37" s="92"/>
      <c r="J37" s="110">
        <f t="shared" si="11"/>
        <v>210000</v>
      </c>
      <c r="K37" s="20">
        <f>D37-J37</f>
        <v>1050000</v>
      </c>
      <c r="L37" s="113">
        <f t="shared" si="8"/>
        <v>0.16666666666666666</v>
      </c>
      <c r="M37" s="20"/>
      <c r="N37" s="62"/>
      <c r="O37" s="6"/>
    </row>
    <row r="38" spans="2:15" outlineLevel="1" x14ac:dyDescent="0.35">
      <c r="B38" s="3"/>
      <c r="C38" s="30" t="s">
        <v>7</v>
      </c>
      <c r="D38" s="36">
        <f>'Output-based engagement budget'!G41</f>
        <v>1260000</v>
      </c>
      <c r="E38" s="36">
        <f>'Output-based engagement budget'!H41</f>
        <v>210000</v>
      </c>
      <c r="F38" s="79">
        <f>E38/12*9</f>
        <v>157500</v>
      </c>
      <c r="G38" s="36">
        <f t="shared" si="9"/>
        <v>52500</v>
      </c>
      <c r="H38" s="104">
        <f t="shared" si="10"/>
        <v>0.25</v>
      </c>
      <c r="I38" s="92" t="s">
        <v>70</v>
      </c>
      <c r="J38" s="110">
        <f t="shared" si="11"/>
        <v>157500</v>
      </c>
      <c r="K38" s="20">
        <f t="shared" si="7"/>
        <v>1102500</v>
      </c>
      <c r="L38" s="113">
        <f t="shared" si="8"/>
        <v>0.125</v>
      </c>
      <c r="M38" s="20"/>
      <c r="N38" s="62"/>
      <c r="O38" s="6"/>
    </row>
    <row r="39" spans="2:15" outlineLevel="1" x14ac:dyDescent="0.35">
      <c r="B39" s="3"/>
      <c r="C39" s="30" t="s">
        <v>8</v>
      </c>
      <c r="D39" s="36">
        <f>'Output-based engagement budget'!G42</f>
        <v>480000</v>
      </c>
      <c r="E39" s="36">
        <f>'Output-based engagement budget'!H42</f>
        <v>120000</v>
      </c>
      <c r="F39" s="79">
        <v>120000</v>
      </c>
      <c r="G39" s="36">
        <f t="shared" si="9"/>
        <v>0</v>
      </c>
      <c r="H39" s="104">
        <f t="shared" si="10"/>
        <v>0</v>
      </c>
      <c r="I39" s="92"/>
      <c r="J39" s="110">
        <f t="shared" si="11"/>
        <v>120000</v>
      </c>
      <c r="K39" s="20">
        <f t="shared" si="7"/>
        <v>360000</v>
      </c>
      <c r="L39" s="113">
        <f t="shared" si="8"/>
        <v>0.25</v>
      </c>
      <c r="M39" s="20"/>
      <c r="N39" s="62"/>
      <c r="O39" s="6"/>
    </row>
    <row r="40" spans="2:15" outlineLevel="1" x14ac:dyDescent="0.35">
      <c r="B40" s="3"/>
      <c r="C40" s="30" t="s">
        <v>23</v>
      </c>
      <c r="D40" s="37">
        <v>250000</v>
      </c>
      <c r="E40" s="36">
        <f>'Output-based engagement budget'!H43</f>
        <v>0</v>
      </c>
      <c r="F40" s="80">
        <v>0</v>
      </c>
      <c r="G40" s="36">
        <f t="shared" si="9"/>
        <v>0</v>
      </c>
      <c r="H40" s="104">
        <v>0</v>
      </c>
      <c r="I40" s="94"/>
      <c r="J40" s="110">
        <f t="shared" si="11"/>
        <v>0</v>
      </c>
      <c r="K40" s="20">
        <f t="shared" si="7"/>
        <v>250000</v>
      </c>
      <c r="L40" s="114">
        <f t="shared" si="8"/>
        <v>0</v>
      </c>
      <c r="M40" s="21"/>
      <c r="N40" s="62"/>
      <c r="O40" s="6"/>
    </row>
    <row r="41" spans="2:15" outlineLevel="1" x14ac:dyDescent="0.35">
      <c r="B41" s="3"/>
      <c r="C41" s="31" t="s">
        <v>26</v>
      </c>
      <c r="D41" s="63">
        <f>'Output-based engagement budget'!G44</f>
        <v>4950000</v>
      </c>
      <c r="E41" s="102">
        <f>SUM(E33:E40)</f>
        <v>1280000</v>
      </c>
      <c r="F41" s="81">
        <f>SUM(F33:F40)</f>
        <v>1177500</v>
      </c>
      <c r="G41" s="63">
        <f>SUM(G33:G40)</f>
        <v>102500</v>
      </c>
      <c r="H41" s="206">
        <f>G41/E41</f>
        <v>8.0078125E-2</v>
      </c>
      <c r="I41" s="95"/>
      <c r="J41" s="109">
        <f>SUM(J33:J40)</f>
        <v>1177500</v>
      </c>
      <c r="K41" s="65">
        <f>SUM(K33:K40)</f>
        <v>3772500</v>
      </c>
      <c r="L41" s="115">
        <f t="shared" si="8"/>
        <v>0.23787878787878788</v>
      </c>
      <c r="M41" s="65">
        <f>SUM(M33:M40)</f>
        <v>0</v>
      </c>
      <c r="N41" s="62"/>
      <c r="O41" s="6"/>
    </row>
    <row r="42" spans="2:15" ht="15" outlineLevel="1" thickBot="1" x14ac:dyDescent="0.4">
      <c r="B42" s="3"/>
      <c r="C42" s="32" t="s">
        <v>34</v>
      </c>
      <c r="D42" s="66">
        <f>'Output-based engagement budget'!G45</f>
        <v>237160</v>
      </c>
      <c r="E42" s="66">
        <f>'Output-based engagement budget'!H45</f>
        <v>39526.666666666664</v>
      </c>
      <c r="F42" s="66">
        <f>F68/3*1</f>
        <v>53279.333333333343</v>
      </c>
      <c r="G42" s="66">
        <f t="shared" si="9"/>
        <v>-13752.666666666679</v>
      </c>
      <c r="H42" s="66">
        <f>G42/E42</f>
        <v>-0.34793388429752098</v>
      </c>
      <c r="I42" s="66"/>
      <c r="J42" s="66">
        <f>F42</f>
        <v>53279.333333333343</v>
      </c>
      <c r="K42" s="66">
        <f>D42-J42</f>
        <v>183880.66666666666</v>
      </c>
      <c r="L42" s="115">
        <f t="shared" si="8"/>
        <v>0.22465564738292015</v>
      </c>
      <c r="M42" s="67"/>
      <c r="N42" s="62"/>
      <c r="O42" s="6"/>
    </row>
    <row r="43" spans="2:15" ht="15" thickTop="1" x14ac:dyDescent="0.35">
      <c r="B43" s="3"/>
      <c r="C43" s="23" t="s">
        <v>35</v>
      </c>
      <c r="D43" s="47">
        <f>'Output-based engagement budget'!G46</f>
        <v>5187160</v>
      </c>
      <c r="E43" s="47">
        <f>E41+E42</f>
        <v>1319526.6666666667</v>
      </c>
      <c r="F43" s="47">
        <f>F41+F42</f>
        <v>1230779.3333333333</v>
      </c>
      <c r="G43" s="47">
        <f>E43-F43</f>
        <v>88747.333333333489</v>
      </c>
      <c r="H43" s="107">
        <f>G43/E43</f>
        <v>6.7256945672438215E-2</v>
      </c>
      <c r="I43" s="97" t="s">
        <v>76</v>
      </c>
      <c r="J43" s="118">
        <f>SUM(J41:J42)</f>
        <v>1230779.3333333333</v>
      </c>
      <c r="K43" s="26">
        <f t="shared" ref="K43" si="12">SUM(K41:K42)</f>
        <v>3956380.6666666665</v>
      </c>
      <c r="L43" s="116">
        <f t="shared" si="8"/>
        <v>0.23727421813349373</v>
      </c>
      <c r="M43" s="26">
        <f>M41+M42</f>
        <v>0</v>
      </c>
      <c r="N43" s="71"/>
      <c r="O43" s="6"/>
    </row>
    <row r="44" spans="2:15" ht="6.65" customHeight="1" x14ac:dyDescent="0.35">
      <c r="B44" s="3"/>
      <c r="C44" s="3"/>
      <c r="D44" s="73"/>
      <c r="E44" s="3"/>
      <c r="F44" s="3"/>
      <c r="G44" s="73"/>
      <c r="H44" s="3"/>
      <c r="I44" s="98"/>
      <c r="J44" s="3"/>
      <c r="K44" s="3"/>
      <c r="L44" s="3"/>
      <c r="M44" s="3"/>
      <c r="N44" s="3"/>
    </row>
    <row r="45" spans="2:15" ht="15" outlineLevel="1" thickBot="1" x14ac:dyDescent="0.4">
      <c r="B45" s="3"/>
      <c r="C45" s="15" t="s">
        <v>10</v>
      </c>
      <c r="D45" s="16"/>
      <c r="E45" s="16"/>
      <c r="F45" s="16"/>
      <c r="G45" s="16"/>
      <c r="H45" s="16"/>
      <c r="I45" s="90"/>
      <c r="J45" s="16"/>
      <c r="K45" s="16"/>
      <c r="L45" s="16"/>
      <c r="M45" s="17"/>
      <c r="N45" s="71"/>
    </row>
    <row r="46" spans="2:15" ht="15" outlineLevel="1" thickTop="1" x14ac:dyDescent="0.35">
      <c r="B46" s="3"/>
      <c r="C46" s="29" t="s">
        <v>3</v>
      </c>
      <c r="D46" s="35">
        <f>'Output-based engagement budget'!G49</f>
        <v>75000</v>
      </c>
      <c r="E46" s="35">
        <f>'Output-based engagement budget'!H49</f>
        <v>75000</v>
      </c>
      <c r="F46" s="18">
        <v>75000</v>
      </c>
      <c r="G46" s="36">
        <f>E46-F46</f>
        <v>0</v>
      </c>
      <c r="H46" s="108">
        <v>0</v>
      </c>
      <c r="I46" s="91"/>
      <c r="J46" s="117">
        <f>F46</f>
        <v>75000</v>
      </c>
      <c r="K46" s="83">
        <f>D46-J46</f>
        <v>0</v>
      </c>
      <c r="L46" s="108">
        <f>J46/D46</f>
        <v>1</v>
      </c>
      <c r="M46" s="20"/>
      <c r="N46" s="69"/>
      <c r="O46" s="6"/>
    </row>
    <row r="47" spans="2:15" outlineLevel="1" x14ac:dyDescent="0.35">
      <c r="B47" s="3"/>
      <c r="C47" s="30" t="s">
        <v>4</v>
      </c>
      <c r="D47" s="36">
        <f>'Output-based engagement budget'!G50</f>
        <v>30000</v>
      </c>
      <c r="E47" s="36">
        <f>'Output-based engagement budget'!H50</f>
        <v>15000</v>
      </c>
      <c r="F47" s="79">
        <v>14900</v>
      </c>
      <c r="G47" s="36">
        <f t="shared" ref="G47:G53" si="13">E47-F47</f>
        <v>100</v>
      </c>
      <c r="H47" s="104">
        <f>G47/E47</f>
        <v>6.6666666666666671E-3</v>
      </c>
      <c r="I47" s="92"/>
      <c r="J47" s="110">
        <f>F47</f>
        <v>14900</v>
      </c>
      <c r="K47" s="20">
        <f t="shared" ref="K47:K53" si="14">D47-J47</f>
        <v>15100</v>
      </c>
      <c r="L47" s="113">
        <f t="shared" ref="L47:L56" si="15">J47/D47</f>
        <v>0.49666666666666665</v>
      </c>
      <c r="M47" s="20"/>
      <c r="N47" s="69"/>
      <c r="O47" s="6"/>
    </row>
    <row r="48" spans="2:15" outlineLevel="1" x14ac:dyDescent="0.35">
      <c r="B48" s="3"/>
      <c r="C48" s="30" t="s">
        <v>21</v>
      </c>
      <c r="D48" s="36">
        <f>'Output-based engagement budget'!G51</f>
        <v>25000</v>
      </c>
      <c r="E48" s="36">
        <f>'Output-based engagement budget'!H51</f>
        <v>12500</v>
      </c>
      <c r="F48" s="79">
        <v>12000</v>
      </c>
      <c r="G48" s="36">
        <f t="shared" si="13"/>
        <v>500</v>
      </c>
      <c r="H48" s="104">
        <f t="shared" ref="H48:H52" si="16">G48/E48</f>
        <v>0.04</v>
      </c>
      <c r="I48" s="92"/>
      <c r="J48" s="110">
        <f t="shared" ref="J48:J53" si="17">F48</f>
        <v>12000</v>
      </c>
      <c r="K48" s="20">
        <f t="shared" si="14"/>
        <v>13000</v>
      </c>
      <c r="L48" s="113">
        <f t="shared" si="15"/>
        <v>0.48</v>
      </c>
      <c r="M48" s="20"/>
      <c r="N48" s="69"/>
      <c r="O48" s="6"/>
    </row>
    <row r="49" spans="2:15" outlineLevel="1" x14ac:dyDescent="0.35">
      <c r="B49" s="3"/>
      <c r="C49" s="30" t="s">
        <v>22</v>
      </c>
      <c r="D49" s="36">
        <f>'Output-based engagement budget'!G52</f>
        <v>160000</v>
      </c>
      <c r="E49" s="36">
        <f>'Output-based engagement budget'!H52</f>
        <v>80000</v>
      </c>
      <c r="F49" s="79">
        <v>82000</v>
      </c>
      <c r="G49" s="36">
        <f t="shared" si="13"/>
        <v>-2000</v>
      </c>
      <c r="H49" s="104">
        <f t="shared" si="16"/>
        <v>-2.5000000000000001E-2</v>
      </c>
      <c r="I49" s="92" t="s">
        <v>68</v>
      </c>
      <c r="J49" s="110">
        <f t="shared" si="17"/>
        <v>82000</v>
      </c>
      <c r="K49" s="20">
        <f t="shared" si="14"/>
        <v>78000</v>
      </c>
      <c r="L49" s="113">
        <f t="shared" si="15"/>
        <v>0.51249999999999996</v>
      </c>
      <c r="M49" s="20"/>
      <c r="N49" s="69"/>
      <c r="O49" s="6"/>
    </row>
    <row r="50" spans="2:15" outlineLevel="1" x14ac:dyDescent="0.35">
      <c r="B50" s="3"/>
      <c r="C50" s="30" t="s">
        <v>5</v>
      </c>
      <c r="D50" s="36">
        <f>'Output-based engagement budget'!G53</f>
        <v>240000</v>
      </c>
      <c r="E50" s="36">
        <f>'Output-based engagement budget'!H53</f>
        <v>80000</v>
      </c>
      <c r="F50" s="79">
        <v>72000</v>
      </c>
      <c r="G50" s="36">
        <f t="shared" si="13"/>
        <v>8000</v>
      </c>
      <c r="H50" s="104">
        <f t="shared" si="16"/>
        <v>0.1</v>
      </c>
      <c r="I50" s="92" t="s">
        <v>106</v>
      </c>
      <c r="J50" s="110">
        <f t="shared" si="17"/>
        <v>72000</v>
      </c>
      <c r="K50" s="20">
        <f t="shared" si="14"/>
        <v>168000</v>
      </c>
      <c r="L50" s="113">
        <f t="shared" si="15"/>
        <v>0.3</v>
      </c>
      <c r="M50" s="20"/>
      <c r="N50" s="69"/>
      <c r="O50" s="6"/>
    </row>
    <row r="51" spans="2:15" outlineLevel="1" x14ac:dyDescent="0.35">
      <c r="B51" s="3"/>
      <c r="C51" s="30" t="s">
        <v>7</v>
      </c>
      <c r="D51" s="36">
        <f>'Output-based engagement budget'!G54</f>
        <v>240000</v>
      </c>
      <c r="E51" s="36">
        <f>'Output-based engagement budget'!H54</f>
        <v>120000</v>
      </c>
      <c r="F51" s="79">
        <v>120000</v>
      </c>
      <c r="G51" s="36">
        <f t="shared" si="13"/>
        <v>0</v>
      </c>
      <c r="H51" s="104">
        <f t="shared" si="16"/>
        <v>0</v>
      </c>
      <c r="I51" s="92"/>
      <c r="J51" s="110">
        <f t="shared" si="17"/>
        <v>120000</v>
      </c>
      <c r="K51" s="20">
        <f t="shared" si="14"/>
        <v>120000</v>
      </c>
      <c r="L51" s="113">
        <f t="shared" si="15"/>
        <v>0.5</v>
      </c>
      <c r="M51" s="20"/>
      <c r="N51" s="69"/>
      <c r="O51" s="6"/>
    </row>
    <row r="52" spans="2:15" outlineLevel="1" x14ac:dyDescent="0.35">
      <c r="B52" s="3"/>
      <c r="C52" s="30" t="s">
        <v>8</v>
      </c>
      <c r="D52" s="36">
        <f>'Output-based engagement budget'!G55</f>
        <v>175000</v>
      </c>
      <c r="E52" s="36">
        <f>'Output-based engagement budget'!H55</f>
        <v>140000</v>
      </c>
      <c r="F52" s="79">
        <v>140000</v>
      </c>
      <c r="G52" s="36">
        <f t="shared" si="13"/>
        <v>0</v>
      </c>
      <c r="H52" s="104">
        <f t="shared" si="16"/>
        <v>0</v>
      </c>
      <c r="I52" s="92"/>
      <c r="J52" s="110">
        <f t="shared" si="17"/>
        <v>140000</v>
      </c>
      <c r="K52" s="20">
        <f t="shared" si="14"/>
        <v>35000</v>
      </c>
      <c r="L52" s="113">
        <f t="shared" si="15"/>
        <v>0.8</v>
      </c>
      <c r="M52" s="20"/>
      <c r="N52" s="69"/>
      <c r="O52" s="6"/>
    </row>
    <row r="53" spans="2:15" outlineLevel="1" x14ac:dyDescent="0.35">
      <c r="B53" s="3"/>
      <c r="C53" s="30" t="s">
        <v>23</v>
      </c>
      <c r="D53" s="37">
        <f>'Output-based engagement budget'!G56</f>
        <v>0</v>
      </c>
      <c r="E53" s="36">
        <f>'Output-based engagement budget'!H56</f>
        <v>0</v>
      </c>
      <c r="F53" s="80">
        <v>0</v>
      </c>
      <c r="G53" s="36">
        <f t="shared" si="13"/>
        <v>0</v>
      </c>
      <c r="H53" s="104">
        <v>0</v>
      </c>
      <c r="I53" s="94"/>
      <c r="J53" s="110">
        <f t="shared" si="17"/>
        <v>0</v>
      </c>
      <c r="K53" s="20">
        <f t="shared" si="14"/>
        <v>0</v>
      </c>
      <c r="L53" s="114">
        <v>0</v>
      </c>
      <c r="M53" s="21"/>
      <c r="N53" s="69"/>
      <c r="O53" s="6"/>
    </row>
    <row r="54" spans="2:15" outlineLevel="1" x14ac:dyDescent="0.35">
      <c r="B54" s="3"/>
      <c r="C54" s="31" t="s">
        <v>32</v>
      </c>
      <c r="D54" s="63">
        <f>'Output-based engagement budget'!G57</f>
        <v>945000</v>
      </c>
      <c r="E54" s="102">
        <f>SUM(E46:E53)</f>
        <v>522500</v>
      </c>
      <c r="F54" s="81">
        <f>SUM(F46:F53)</f>
        <v>515900</v>
      </c>
      <c r="G54" s="63">
        <f>SUM(G46:G53)</f>
        <v>6600</v>
      </c>
      <c r="H54" s="206">
        <f>G54/E54</f>
        <v>1.2631578947368421E-2</v>
      </c>
      <c r="I54" s="95"/>
      <c r="J54" s="109">
        <f>SUM(J46:J53)</f>
        <v>515900</v>
      </c>
      <c r="K54" s="65">
        <f>SUM(K46:K53)</f>
        <v>429100</v>
      </c>
      <c r="L54" s="115">
        <f t="shared" si="15"/>
        <v>0.54592592592592593</v>
      </c>
      <c r="M54" s="65"/>
      <c r="N54" s="69"/>
      <c r="O54" s="6"/>
    </row>
    <row r="55" spans="2:15" ht="15" outlineLevel="1" thickBot="1" x14ac:dyDescent="0.4">
      <c r="B55" s="3"/>
      <c r="C55" s="32" t="s">
        <v>33</v>
      </c>
      <c r="D55" s="66">
        <v>0</v>
      </c>
      <c r="E55" s="66">
        <v>0</v>
      </c>
      <c r="F55" s="66">
        <f>F81/3*0</f>
        <v>0</v>
      </c>
      <c r="G55" s="66">
        <v>0</v>
      </c>
      <c r="H55" s="66">
        <f>$G$55/5</f>
        <v>0</v>
      </c>
      <c r="I55" s="66"/>
      <c r="J55" s="66">
        <f>'Output-based engagement budget'!H58+'Budget monitoring Year 1 Q1-Q2'!F55</f>
        <v>0</v>
      </c>
      <c r="K55" s="66">
        <f>D55-J55</f>
        <v>0</v>
      </c>
      <c r="L55" s="115">
        <v>0</v>
      </c>
      <c r="M55" s="67"/>
      <c r="N55" s="69"/>
      <c r="O55" s="6"/>
    </row>
    <row r="56" spans="2:15" ht="15" thickTop="1" x14ac:dyDescent="0.35">
      <c r="B56" s="3"/>
      <c r="C56" s="23" t="s">
        <v>31</v>
      </c>
      <c r="D56" s="47">
        <v>945000</v>
      </c>
      <c r="E56" s="47">
        <f>E54+E55</f>
        <v>522500</v>
      </c>
      <c r="F56" s="48">
        <f>F54+F55</f>
        <v>515900</v>
      </c>
      <c r="G56" s="47">
        <f>E56-F56</f>
        <v>6600</v>
      </c>
      <c r="H56" s="107">
        <f>G56/E56</f>
        <v>1.2631578947368421E-2</v>
      </c>
      <c r="I56" s="97" t="s">
        <v>71</v>
      </c>
      <c r="J56" s="118">
        <f>SUM(J54:J55)</f>
        <v>515900</v>
      </c>
      <c r="K56" s="26">
        <f t="shared" ref="K56" si="18">SUM(K54:K55)</f>
        <v>429100</v>
      </c>
      <c r="L56" s="116">
        <f t="shared" si="15"/>
        <v>0.54592592592592593</v>
      </c>
      <c r="M56" s="26"/>
      <c r="N56" s="71"/>
      <c r="O56" s="6"/>
    </row>
    <row r="57" spans="2:15" ht="6" customHeight="1" x14ac:dyDescent="0.35">
      <c r="B57" s="3"/>
      <c r="C57" s="3"/>
      <c r="D57" s="73"/>
      <c r="E57" s="3"/>
      <c r="F57" s="3"/>
      <c r="G57" s="73"/>
      <c r="H57" s="3"/>
      <c r="I57" s="98"/>
      <c r="J57" s="3"/>
      <c r="K57" s="3"/>
      <c r="L57" s="3"/>
      <c r="M57" s="3"/>
      <c r="N57" s="3"/>
      <c r="O57" s="6"/>
    </row>
    <row r="58" spans="2:15" ht="15" hidden="1" outlineLevel="1" thickBot="1" x14ac:dyDescent="0.4">
      <c r="B58" s="3"/>
      <c r="C58" s="15" t="s">
        <v>24</v>
      </c>
      <c r="D58" s="27"/>
      <c r="E58" s="16"/>
      <c r="F58" s="16"/>
      <c r="G58" s="27"/>
      <c r="H58" s="16"/>
      <c r="I58" s="90"/>
      <c r="J58" s="16"/>
      <c r="K58" s="16"/>
      <c r="L58" s="16"/>
      <c r="M58" s="17"/>
      <c r="N58" s="71"/>
      <c r="O58" s="6"/>
    </row>
    <row r="59" spans="2:15" ht="15" hidden="1" outlineLevel="1" thickTop="1" x14ac:dyDescent="0.35">
      <c r="B59" s="3"/>
      <c r="C59" s="29" t="s">
        <v>25</v>
      </c>
      <c r="D59" s="35">
        <v>914550</v>
      </c>
      <c r="E59" s="111">
        <v>182910</v>
      </c>
      <c r="F59" s="84">
        <f>E59</f>
        <v>182910</v>
      </c>
      <c r="G59" s="66">
        <f>E59-F59</f>
        <v>0</v>
      </c>
      <c r="H59" s="112">
        <f t="shared" ref="H59:H60" si="19">G59/E59</f>
        <v>0</v>
      </c>
      <c r="I59" s="101"/>
      <c r="J59" s="117">
        <f>'Output-based engagement budget'!H67+'Budget monitoring Year 1 Q1-Q2'!F59</f>
        <v>301490</v>
      </c>
      <c r="K59" s="20">
        <f t="shared" ref="K59:K60" si="20">D59-J59</f>
        <v>613060</v>
      </c>
      <c r="L59" s="113">
        <f t="shared" ref="L59:L61" si="21">J59/D59</f>
        <v>0.32965939533103711</v>
      </c>
      <c r="M59" s="20"/>
      <c r="N59" s="3"/>
      <c r="O59" s="6"/>
    </row>
    <row r="60" spans="2:15" ht="15" hidden="1" outlineLevel="1" thickBot="1" x14ac:dyDescent="0.4">
      <c r="B60" s="3"/>
      <c r="C60" s="32" t="s">
        <v>11</v>
      </c>
      <c r="D60" s="38">
        <v>225000</v>
      </c>
      <c r="E60" s="36">
        <v>45000</v>
      </c>
      <c r="F60" s="85">
        <v>45000</v>
      </c>
      <c r="G60" s="36">
        <f t="shared" ref="G60" si="22">E60-F60</f>
        <v>0</v>
      </c>
      <c r="H60" s="104">
        <f t="shared" si="19"/>
        <v>0</v>
      </c>
      <c r="I60" s="99"/>
      <c r="J60" s="110">
        <f>'Output-based engagement budget'!H68+'Budget monitoring Year 1 Q1-Q2'!F60</f>
        <v>45000</v>
      </c>
      <c r="K60" s="20">
        <f t="shared" si="20"/>
        <v>180000</v>
      </c>
      <c r="L60" s="113">
        <f t="shared" si="21"/>
        <v>0.2</v>
      </c>
      <c r="M60" s="20">
        <f>G60/F60</f>
        <v>0</v>
      </c>
      <c r="N60" s="3"/>
      <c r="O60" s="6"/>
    </row>
    <row r="61" spans="2:15" ht="15" hidden="1" outlineLevel="1" thickTop="1" x14ac:dyDescent="0.35">
      <c r="B61" s="3"/>
      <c r="C61" s="23" t="s">
        <v>30</v>
      </c>
      <c r="D61" s="47">
        <v>1139550</v>
      </c>
      <c r="E61" s="47">
        <v>227910</v>
      </c>
      <c r="F61" s="48">
        <f>F59+F60</f>
        <v>227910</v>
      </c>
      <c r="G61" s="47">
        <f>E61-F61</f>
        <v>0</v>
      </c>
      <c r="H61" s="107">
        <f>G61/E61</f>
        <v>0</v>
      </c>
      <c r="I61" s="100"/>
      <c r="J61" s="119">
        <f>J59+J60</f>
        <v>346490</v>
      </c>
      <c r="K61" s="57">
        <f>SUM(K59:K60)</f>
        <v>793060</v>
      </c>
      <c r="L61" s="116">
        <f t="shared" si="21"/>
        <v>0.30405861963055592</v>
      </c>
      <c r="M61" s="58"/>
      <c r="N61" s="71"/>
      <c r="O61" s="6"/>
    </row>
    <row r="62" spans="2:15" ht="6" customHeight="1" collapsed="1" x14ac:dyDescent="0.35">
      <c r="B62" s="3"/>
      <c r="C62" s="3"/>
      <c r="D62" s="73"/>
      <c r="E62" s="3"/>
      <c r="F62" s="3"/>
      <c r="G62" s="73"/>
      <c r="H62" s="3"/>
      <c r="I62" s="98"/>
      <c r="J62" s="3"/>
      <c r="K62" s="3"/>
      <c r="L62" s="3"/>
      <c r="M62" s="3"/>
      <c r="N62" s="3"/>
      <c r="O62" s="6"/>
    </row>
    <row r="63" spans="2:15" ht="15" outlineLevel="1" thickBot="1" x14ac:dyDescent="0.4">
      <c r="B63" s="3"/>
      <c r="C63" s="201" t="s">
        <v>14</v>
      </c>
      <c r="D63" s="202"/>
      <c r="E63" s="203"/>
      <c r="F63" s="203"/>
      <c r="G63" s="202"/>
      <c r="H63" s="203"/>
      <c r="I63" s="204"/>
      <c r="J63" s="203"/>
      <c r="K63" s="203"/>
      <c r="L63" s="203"/>
      <c r="M63" s="205"/>
      <c r="N63" s="71"/>
      <c r="O63" s="6"/>
    </row>
    <row r="64" spans="2:15" outlineLevel="1" x14ac:dyDescent="0.35">
      <c r="B64" s="3"/>
      <c r="C64" s="198" t="s">
        <v>107</v>
      </c>
      <c r="D64" s="145">
        <f>(D28+D41+D54)/10</f>
        <v>924000</v>
      </c>
      <c r="E64" s="199">
        <v>0</v>
      </c>
      <c r="F64" s="199">
        <v>0</v>
      </c>
      <c r="G64" s="199">
        <v>0</v>
      </c>
      <c r="H64" s="193">
        <v>0</v>
      </c>
      <c r="I64" s="194"/>
      <c r="J64" s="192"/>
      <c r="K64" s="192"/>
      <c r="L64" s="192"/>
      <c r="M64" s="200"/>
      <c r="N64" s="3"/>
      <c r="O64" s="6"/>
    </row>
    <row r="65" spans="2:15" outlineLevel="1" x14ac:dyDescent="0.35">
      <c r="B65" s="3"/>
      <c r="C65" s="146" t="s">
        <v>53</v>
      </c>
      <c r="D65" s="109">
        <v>0</v>
      </c>
      <c r="E65" s="102">
        <v>0</v>
      </c>
      <c r="F65" s="102">
        <v>0</v>
      </c>
      <c r="G65" s="102">
        <v>0</v>
      </c>
      <c r="H65" s="105">
        <v>0</v>
      </c>
      <c r="I65" s="197"/>
      <c r="J65" s="109"/>
      <c r="K65" s="109"/>
      <c r="L65" s="109"/>
      <c r="M65" s="109"/>
      <c r="N65" s="3"/>
      <c r="O65" s="6"/>
    </row>
    <row r="66" spans="2:15" outlineLevel="1" x14ac:dyDescent="0.35">
      <c r="B66" s="3"/>
      <c r="C66" s="182"/>
      <c r="D66" s="55"/>
      <c r="E66" s="75"/>
      <c r="F66" s="75"/>
      <c r="G66" s="75"/>
      <c r="H66" s="195"/>
      <c r="I66" s="196"/>
      <c r="J66" s="55"/>
      <c r="K66" s="55"/>
      <c r="L66" s="55"/>
      <c r="M66" s="55"/>
      <c r="N66" s="3"/>
      <c r="O66" s="6"/>
    </row>
    <row r="67" spans="2:15" ht="15" outlineLevel="1" thickBot="1" x14ac:dyDescent="0.4">
      <c r="B67" s="3"/>
      <c r="C67" s="201" t="s">
        <v>24</v>
      </c>
      <c r="D67" s="202"/>
      <c r="E67" s="203"/>
      <c r="F67" s="203"/>
      <c r="G67" s="202"/>
      <c r="H67" s="203"/>
      <c r="I67" s="204"/>
      <c r="J67" s="203"/>
      <c r="K67" s="203"/>
      <c r="L67" s="203"/>
      <c r="M67" s="205"/>
      <c r="N67" s="3"/>
      <c r="O67" s="6"/>
    </row>
    <row r="68" spans="2:15" outlineLevel="1" x14ac:dyDescent="0.35">
      <c r="B68" s="3"/>
      <c r="C68" s="146" t="s">
        <v>81</v>
      </c>
      <c r="D68" s="109">
        <f>(D28+D41+D54+D64)*7%</f>
        <v>711480.00000000012</v>
      </c>
      <c r="E68" s="102">
        <f>'Output-based engagement budget'!H67</f>
        <v>118580</v>
      </c>
      <c r="F68" s="109">
        <f>(F28+F41+F54)*7%</f>
        <v>159838.00000000003</v>
      </c>
      <c r="G68" s="66">
        <f t="shared" ref="G68" si="23">E68-F68</f>
        <v>-41258.000000000029</v>
      </c>
      <c r="H68" s="105">
        <f t="shared" ref="H68" si="24">G68/E68</f>
        <v>-0.34793388429752092</v>
      </c>
      <c r="I68" s="197"/>
      <c r="J68" s="109">
        <f>F68</f>
        <v>159838.00000000003</v>
      </c>
      <c r="K68" s="109">
        <f>D68-J68</f>
        <v>551642.00000000012</v>
      </c>
      <c r="L68" s="115">
        <f>J68/D68</f>
        <v>0.22465564738292013</v>
      </c>
      <c r="M68" s="109"/>
      <c r="N68" s="3"/>
      <c r="O68" s="6"/>
    </row>
    <row r="69" spans="2:15" ht="15" outlineLevel="1" thickBot="1" x14ac:dyDescent="0.4">
      <c r="B69" s="3"/>
      <c r="C69" s="146" t="s">
        <v>11</v>
      </c>
      <c r="D69" s="109">
        <f>'Output-based engagement budget'!G68</f>
        <v>135000</v>
      </c>
      <c r="E69" s="102">
        <v>0</v>
      </c>
      <c r="F69" s="102">
        <v>0</v>
      </c>
      <c r="G69" s="102">
        <v>0</v>
      </c>
      <c r="H69" s="105">
        <v>0</v>
      </c>
      <c r="I69" s="197"/>
      <c r="J69" s="109">
        <f>F69</f>
        <v>0</v>
      </c>
      <c r="K69" s="109">
        <f>D69-J69</f>
        <v>135000</v>
      </c>
      <c r="L69" s="115">
        <f>J69/D69</f>
        <v>0</v>
      </c>
      <c r="M69" s="109"/>
      <c r="N69" s="3"/>
      <c r="O69" s="6"/>
    </row>
    <row r="70" spans="2:15" ht="15" outlineLevel="1" thickTop="1" x14ac:dyDescent="0.35">
      <c r="B70" s="3"/>
      <c r="C70" s="23" t="s">
        <v>30</v>
      </c>
      <c r="D70" s="47">
        <f>D68+D69</f>
        <v>846480.00000000012</v>
      </c>
      <c r="E70" s="47">
        <f t="shared" ref="E70:G70" si="25">E68+E69</f>
        <v>118580</v>
      </c>
      <c r="F70" s="47">
        <f t="shared" si="25"/>
        <v>159838.00000000003</v>
      </c>
      <c r="G70" s="47">
        <f t="shared" si="25"/>
        <v>-41258.000000000029</v>
      </c>
      <c r="H70" s="107">
        <f>G70/E70</f>
        <v>-0.34793388429752092</v>
      </c>
      <c r="I70" s="97" t="s">
        <v>105</v>
      </c>
      <c r="J70" s="118">
        <f>SUM(J68:J69)</f>
        <v>159838.00000000003</v>
      </c>
      <c r="K70" s="118">
        <f t="shared" ref="K70:L70" si="26">SUM(K68:K69)</f>
        <v>686642.00000000012</v>
      </c>
      <c r="L70" s="207">
        <f t="shared" si="26"/>
        <v>0.22465564738292013</v>
      </c>
      <c r="M70" s="26"/>
      <c r="N70" s="3"/>
      <c r="O70" s="6"/>
    </row>
    <row r="71" spans="2:15" x14ac:dyDescent="0.3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</sheetData>
  <mergeCells count="10">
    <mergeCell ref="D11:M11"/>
    <mergeCell ref="D12:M12"/>
    <mergeCell ref="E14:I14"/>
    <mergeCell ref="J14:M14"/>
    <mergeCell ref="D4:M4"/>
    <mergeCell ref="D5:M5"/>
    <mergeCell ref="D6:M6"/>
    <mergeCell ref="D7:M7"/>
    <mergeCell ref="D8:M8"/>
    <mergeCell ref="D9:M9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Output-based engagement budget</vt:lpstr>
      <vt:lpstr>Budget monitoring Year 1 Q3+Q4</vt:lpstr>
      <vt:lpstr>Budget monitoring Year 1 Q1-Q2</vt:lpstr>
      <vt:lpstr>'Output-based engagement budget'!Print_Area</vt:lpstr>
    </vt:vector>
  </TitlesOfParts>
  <Company>Deloitte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Maibritt Richmann Kallehauge Brask</dc:creator>
  <cp:lastModifiedBy>Sofiia Golota</cp:lastModifiedBy>
  <cp:lastPrinted>2018-04-11T19:04:45Z</cp:lastPrinted>
  <dcterms:created xsi:type="dcterms:W3CDTF">2018-04-11T07:55:07Z</dcterms:created>
  <dcterms:modified xsi:type="dcterms:W3CDTF">2025-08-15T07:25:08Z</dcterms:modified>
</cp:coreProperties>
</file>